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TL2021\Oktatás\ŐSZI FÉLÉV\Kemalap\3.gyak\"/>
    </mc:Choice>
  </mc:AlternateContent>
  <xr:revisionPtr revIDLastSave="0" documentId="13_ncr:1_{05C18BC0-6D00-4CA6-AFDA-3DCC0FCC8420}" xr6:coauthVersionLast="47" xr6:coauthVersionMax="47" xr10:uidLastSave="{00000000-0000-0000-0000-000000000000}"/>
  <bookViews>
    <workbookView xWindow="15495" yWindow="75" windowWidth="13185" windowHeight="7830" activeTab="3" xr2:uid="{00000000-000D-0000-FFFF-FFFF00000000}"/>
  </bookViews>
  <sheets>
    <sheet name="3.Gyakorlat" sheetId="8" r:id="rId1"/>
    <sheet name="ZH3" sheetId="6" r:id="rId2"/>
    <sheet name="ZH3 megoldás" sheetId="4" r:id="rId3"/>
    <sheet name="ZH3p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9" l="1"/>
  <c r="E39" i="9"/>
  <c r="B20" i="9"/>
  <c r="B21" i="9"/>
  <c r="J17" i="9"/>
  <c r="J5" i="9"/>
  <c r="D13" i="9"/>
  <c r="J10" i="9"/>
  <c r="G13" i="9" s="1"/>
  <c r="F32" i="9"/>
  <c r="I30" i="9"/>
  <c r="B32" i="9"/>
  <c r="H30" i="9"/>
  <c r="C38" i="9"/>
  <c r="J40" i="4"/>
  <c r="L42" i="4" s="1"/>
  <c r="B22" i="9" l="1"/>
  <c r="B23" i="9" s="1"/>
  <c r="B24" i="9" s="1"/>
  <c r="D20" i="9"/>
  <c r="K13" i="9"/>
  <c r="K14" i="9" s="1"/>
  <c r="M14" i="9" s="1"/>
  <c r="H39" i="9"/>
  <c r="H40" i="9" s="1"/>
  <c r="L40" i="9" s="1"/>
  <c r="L41" i="9" s="1"/>
  <c r="B33" i="9"/>
  <c r="F33" i="9" s="1"/>
  <c r="K33" i="9" s="1"/>
  <c r="I31" i="9"/>
  <c r="K32" i="9" s="1"/>
  <c r="J7" i="6"/>
  <c r="G34" i="4"/>
  <c r="C31" i="4"/>
  <c r="J39" i="4"/>
  <c r="G42" i="4" s="1"/>
  <c r="F31" i="4"/>
  <c r="F25" i="4"/>
  <c r="B25" i="4"/>
  <c r="B26" i="4" s="1"/>
  <c r="F26" i="4" s="1"/>
  <c r="I6" i="4"/>
  <c r="J52" i="8"/>
  <c r="F44" i="8"/>
  <c r="C44" i="8"/>
  <c r="E40" i="8"/>
  <c r="E39" i="8"/>
  <c r="C38" i="8"/>
  <c r="H24" i="8"/>
  <c r="J24" i="8" s="1"/>
  <c r="D26" i="8" s="1"/>
  <c r="G26" i="8" s="1"/>
  <c r="E21" i="8"/>
  <c r="G21" i="8" s="1"/>
  <c r="E20" i="8"/>
  <c r="G20" i="8" s="1"/>
  <c r="D15" i="8"/>
  <c r="L13" i="8"/>
  <c r="C12" i="8"/>
  <c r="E12" i="8" s="1"/>
  <c r="G12" i="8" s="1"/>
  <c r="I12" i="8" s="1"/>
  <c r="K12" i="8" s="1"/>
  <c r="D9" i="8"/>
  <c r="L6" i="8"/>
  <c r="C6" i="8"/>
  <c r="E6" i="8" s="1"/>
  <c r="G6" i="8" s="1"/>
  <c r="H2" i="8"/>
  <c r="J31" i="8" s="1"/>
  <c r="L31" i="8" s="1"/>
  <c r="I34" i="9" l="1"/>
  <c r="I6" i="8"/>
  <c r="F9" i="8"/>
  <c r="I9" i="8" s="1"/>
  <c r="K9" i="8" s="1"/>
  <c r="H44" i="8"/>
  <c r="L55" i="8" s="1"/>
  <c r="J57" i="8" s="1"/>
  <c r="L57" i="8" s="1"/>
  <c r="H39" i="8"/>
  <c r="H40" i="8" s="1"/>
  <c r="L40" i="8" s="1"/>
  <c r="L41" i="8" s="1"/>
  <c r="F15" i="8"/>
  <c r="I15" i="8" s="1"/>
  <c r="K15" i="8" s="1"/>
  <c r="L16" i="8" s="1"/>
  <c r="H31" i="4"/>
  <c r="J44" i="4" s="1"/>
  <c r="L44" i="4" s="1"/>
  <c r="G22" i="8"/>
  <c r="G55" i="8"/>
  <c r="F31" i="8"/>
  <c r="H31" i="8" s="1"/>
  <c r="I23" i="4" l="1"/>
  <c r="I24" i="4" s="1"/>
  <c r="K25" i="4" s="1"/>
  <c r="H23" i="4"/>
  <c r="K26" i="4"/>
  <c r="J10" i="4"/>
  <c r="B13" i="4"/>
  <c r="C6" i="4"/>
  <c r="C7" i="4" s="1"/>
  <c r="I27" i="4" l="1"/>
  <c r="G7" i="4"/>
  <c r="I7" i="4" s="1"/>
  <c r="M6" i="4" s="1"/>
  <c r="M7" i="4" s="1"/>
  <c r="B14" i="4"/>
  <c r="B15" i="4" s="1"/>
  <c r="B16" i="4" s="1"/>
  <c r="B17" i="4" s="1"/>
  <c r="D13" i="4"/>
</calcChain>
</file>

<file path=xl/sharedStrings.xml><?xml version="1.0" encoding="utf-8"?>
<sst xmlns="http://schemas.openxmlformats.org/spreadsheetml/2006/main" count="312" uniqueCount="185">
  <si>
    <t>pH számítások</t>
  </si>
  <si>
    <t>Ecetsav</t>
  </si>
  <si>
    <t>pKs =</t>
  </si>
  <si>
    <t>Ks =</t>
  </si>
  <si>
    <t>pH=</t>
  </si>
  <si>
    <t>g/mol</t>
  </si>
  <si>
    <t>Mennyi lesz az oldat pH-ja?</t>
  </si>
  <si>
    <t>[sav]=</t>
  </si>
  <si>
    <t>pH = 13</t>
  </si>
  <si>
    <t>pH = 8</t>
  </si>
  <si>
    <t>37% HCl</t>
  </si>
  <si>
    <t>másodfokú egyenlettel</t>
  </si>
  <si>
    <t>l</t>
  </si>
  <si>
    <t>mol/liter</t>
  </si>
  <si>
    <t>pH+pOH=14</t>
  </si>
  <si>
    <t>liter szennyvíz</t>
  </si>
  <si>
    <t>közömbösítendő:</t>
  </si>
  <si>
    <t>kerekítve:</t>
  </si>
  <si>
    <t>A reakcióhoz kell:</t>
  </si>
  <si>
    <t>mol HCl</t>
  </si>
  <si>
    <t>g HCl</t>
  </si>
  <si>
    <t>x</t>
  </si>
  <si>
    <t>x =</t>
  </si>
  <si>
    <t>2.</t>
  </si>
  <si>
    <t>1.</t>
  </si>
  <si>
    <t>3.</t>
  </si>
  <si>
    <t>4.</t>
  </si>
  <si>
    <r>
      <t>Ezzel hány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12 pH-jú szennyvízet lehet közömbösíten, hogy a pH 7 legyen?</t>
    </r>
  </si>
  <si>
    <t>%</t>
  </si>
  <si>
    <t>pH =</t>
  </si>
  <si>
    <t>pOH =</t>
  </si>
  <si>
    <t>[OH-]=</t>
  </si>
  <si>
    <t>[NH4OH]</t>
  </si>
  <si>
    <t xml:space="preserve">      x   *</t>
  </si>
  <si>
    <t>pOH</t>
  </si>
  <si>
    <t>pH</t>
  </si>
  <si>
    <t>reagál</t>
  </si>
  <si>
    <t>pOH=7</t>
  </si>
  <si>
    <t>pOH=2</t>
  </si>
  <si>
    <t xml:space="preserve">  [sav] =</t>
  </si>
  <si>
    <t xml:space="preserve">M = </t>
  </si>
  <si>
    <t xml:space="preserve"> g/mol</t>
  </si>
  <si>
    <t xml:space="preserve"> g</t>
  </si>
  <si>
    <t>keverék</t>
  </si>
  <si>
    <t>koncentráció</t>
  </si>
  <si>
    <r>
      <t>mol/dm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</si>
  <si>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r>
      <t xml:space="preserve"> g/dm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</si>
  <si>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g/1000cm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</si>
  <si>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r>
      <t>g/100 cm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</si>
  <si>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r>
      <t>K</t>
    </r>
    <r>
      <rPr>
        <vertAlign val="subscript"/>
        <sz val="12"/>
        <rFont val="Times New Roman"/>
        <family val="1"/>
        <charset val="238"/>
      </rPr>
      <t xml:space="preserve">b </t>
    </r>
    <r>
      <rPr>
        <sz val="12"/>
        <color theme="1"/>
        <rFont val="Times New Roman"/>
        <family val="1"/>
        <charset val="238"/>
      </rPr>
      <t xml:space="preserve">= </t>
    </r>
  </si>
  <si>
    <r>
      <t xml:space="preserve">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/mol</t>
    </r>
  </si>
  <si>
    <t>Móltérf. =</t>
  </si>
  <si>
    <t>(atomtömegek: N-14, H-1, O-16)</t>
  </si>
  <si>
    <r>
      <t>mol NH</t>
    </r>
    <r>
      <rPr>
        <b/>
        <vertAlign val="subscript"/>
        <sz val="12"/>
        <color theme="1"/>
        <rFont val="Times New Roman"/>
        <family val="1"/>
        <charset val="238"/>
      </rPr>
      <t>3</t>
    </r>
  </si>
  <si>
    <r>
      <t xml:space="preserve">   x * x = K</t>
    </r>
    <r>
      <rPr>
        <vertAlign val="subscript"/>
        <sz val="12"/>
        <color theme="1"/>
        <rFont val="Times New Roman"/>
        <family val="1"/>
        <charset val="238"/>
      </rPr>
      <t>b</t>
    </r>
    <r>
      <rPr>
        <sz val="12"/>
        <color theme="1"/>
        <rFont val="Times New Roman"/>
        <family val="1"/>
        <charset val="238"/>
      </rPr>
      <t xml:space="preserve"> * [NH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OH]</t>
    </r>
  </si>
  <si>
    <r>
      <t>[NH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</si>
  <si>
    <r>
      <t xml:space="preserve"> dm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oldatban</t>
    </r>
  </si>
  <si>
    <r>
      <t>mol NH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>OH</t>
    </r>
  </si>
  <si>
    <r>
      <t>NH</t>
    </r>
    <r>
      <rPr>
        <b/>
        <vertAlign val="sub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+ 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O = NH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>OH</t>
    </r>
  </si>
  <si>
    <r>
      <t>NH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>OH = NH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vertAlign val="superscript"/>
        <sz val="12"/>
        <color theme="1"/>
        <rFont val="Times New Roman"/>
        <family val="1"/>
        <charset val="238"/>
      </rPr>
      <t>+</t>
    </r>
    <r>
      <rPr>
        <b/>
        <sz val="12"/>
        <color theme="1"/>
        <rFont val="Times New Roman"/>
        <family val="1"/>
        <charset val="238"/>
      </rPr>
      <t xml:space="preserve"> + OH</t>
    </r>
    <r>
      <rPr>
        <b/>
        <vertAlign val="superscript"/>
        <sz val="12"/>
        <color theme="1"/>
        <rFont val="Times New Roman"/>
        <family val="1"/>
        <charset val="238"/>
      </rPr>
      <t>-</t>
    </r>
  </si>
  <si>
    <r>
      <t>[OH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>]</t>
    </r>
  </si>
  <si>
    <r>
      <t>[OH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>] = x = gyök(K</t>
    </r>
    <r>
      <rPr>
        <b/>
        <vertAlign val="subscript"/>
        <sz val="12"/>
        <color theme="1"/>
        <rFont val="Times New Roman"/>
        <family val="1"/>
        <charset val="238"/>
      </rPr>
      <t>b</t>
    </r>
    <r>
      <rPr>
        <b/>
        <sz val="12"/>
        <color theme="1"/>
        <rFont val="Times New Roman"/>
        <family val="1"/>
        <charset val="238"/>
      </rPr>
      <t>*[NH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>OH])</t>
    </r>
  </si>
  <si>
    <r>
      <t>mol 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>val</t>
    </r>
  </si>
  <si>
    <r>
      <t>mol 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 xml:space="preserve"> -t kell közömbösíteni</t>
    </r>
  </si>
  <si>
    <r>
      <t>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szennyvízben van</t>
    </r>
  </si>
  <si>
    <r>
      <t>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szennyvízben levő</t>
    </r>
  </si>
  <si>
    <r>
      <t>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</si>
  <si>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t xml:space="preserve">x = </t>
  </si>
  <si>
    <r>
      <t>mol/m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</si>
  <si>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t xml:space="preserve"> &lt;-- pH 12</t>
  </si>
  <si>
    <t xml:space="preserve">pH 7 --&gt; </t>
  </si>
  <si>
    <t xml:space="preserve">pOH = </t>
  </si>
  <si>
    <t xml:space="preserve">pH = </t>
  </si>
  <si>
    <t>Hány %-os az a NaOH oldat, amelynek pH-ja 13?</t>
  </si>
  <si>
    <t>Hány %-os az a HCl oldat, amelynek pH-ja 1?</t>
  </si>
  <si>
    <t xml:space="preserve">1%-os HCl </t>
  </si>
  <si>
    <t>pH=?</t>
  </si>
  <si>
    <t xml:space="preserve">1%-os NaOH </t>
  </si>
  <si>
    <t>KémalapGy3</t>
  </si>
  <si>
    <t>atomtömegek: C-12, O-16, H-1, Cl-35,5, Na-23</t>
  </si>
  <si>
    <r>
      <t>móltérfogat(20</t>
    </r>
    <r>
      <rPr>
        <vertAlign val="superscript"/>
        <sz val="12"/>
        <rFont val="Times New Roman"/>
        <family val="1"/>
        <charset val="238"/>
      </rPr>
      <t>o</t>
    </r>
    <r>
      <rPr>
        <sz val="12"/>
        <color theme="1"/>
        <rFont val="Times New Roman"/>
        <family val="1"/>
        <charset val="238"/>
      </rPr>
      <t>C)=24 dm</t>
    </r>
    <r>
      <rPr>
        <vertAlign val="superscript"/>
        <sz val="12"/>
        <rFont val="Times New Roman"/>
        <family val="1"/>
        <charset val="238"/>
      </rPr>
      <t>3</t>
    </r>
  </si>
  <si>
    <t xml:space="preserve">1.a </t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</si>
  <si>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 xml:space="preserve">] = </t>
    </r>
  </si>
  <si>
    <t xml:space="preserve">[HCl] = </t>
  </si>
  <si>
    <t>mol/l =</t>
  </si>
  <si>
    <t>mol/100ml =</t>
  </si>
  <si>
    <t>% (g/100ml)</t>
  </si>
  <si>
    <t>1.b</t>
  </si>
  <si>
    <t>g/100 ml=</t>
  </si>
  <si>
    <t>g/l =</t>
  </si>
  <si>
    <t>mol/l HCl</t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</si>
  <si>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]=[HCl]=</t>
    </r>
  </si>
  <si>
    <t>1.c</t>
  </si>
  <si>
    <r>
      <t>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] = </t>
    </r>
  </si>
  <si>
    <t xml:space="preserve"> =[NaOH]=</t>
  </si>
  <si>
    <t>%(g/100ml)</t>
  </si>
  <si>
    <t>1.d</t>
  </si>
  <si>
    <t>g/l NaOH =</t>
  </si>
  <si>
    <t>mol/l NaOH</t>
  </si>
  <si>
    <r>
      <t xml:space="preserve"> = 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] = </t>
    </r>
  </si>
  <si>
    <t xml:space="preserve">pH = 14 - pOH = </t>
  </si>
  <si>
    <r>
      <rPr>
        <b/>
        <sz val="12"/>
        <color rgb="FF0070C0"/>
        <rFont val="Times New Roman"/>
        <family val="1"/>
        <charset val="238"/>
      </rPr>
      <t>10 m</t>
    </r>
    <r>
      <rPr>
        <b/>
        <vertAlign val="superscript"/>
        <sz val="12"/>
        <color rgb="FF0070C0"/>
        <rFont val="Times New Roman"/>
        <family val="1"/>
        <charset val="238"/>
      </rPr>
      <t>3</t>
    </r>
    <r>
      <rPr>
        <b/>
        <sz val="12"/>
        <color rgb="FF0070C0"/>
        <rFont val="Times New Roman"/>
        <family val="1"/>
        <charset val="238"/>
      </rPr>
      <t xml:space="preserve"> 13 pH</t>
    </r>
    <r>
      <rPr>
        <sz val="12"/>
        <color theme="1"/>
        <rFont val="Times New Roman"/>
        <family val="1"/>
        <charset val="238"/>
      </rPr>
      <t>-jú szennyvízhez hány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70C0"/>
        <rFont val="Times New Roman"/>
        <family val="1"/>
        <charset val="238"/>
      </rPr>
      <t>37%-os HCl</t>
    </r>
    <r>
      <rPr>
        <sz val="12"/>
        <color theme="1"/>
        <rFont val="Times New Roman"/>
        <family val="1"/>
        <charset val="238"/>
      </rPr>
      <t xml:space="preserve">-t kell adnunk, hogy a </t>
    </r>
    <r>
      <rPr>
        <b/>
        <sz val="12"/>
        <color rgb="FF0070C0"/>
        <rFont val="Times New Roman"/>
        <family val="1"/>
        <charset val="238"/>
      </rPr>
      <t>pH 8</t>
    </r>
    <r>
      <rPr>
        <sz val="12"/>
        <color theme="1"/>
        <rFont val="Times New Roman"/>
        <family val="1"/>
        <charset val="238"/>
      </rPr>
      <t xml:space="preserve"> legyen?</t>
    </r>
  </si>
  <si>
    <r>
      <t>10 m</t>
    </r>
    <r>
      <rPr>
        <b/>
        <vertAlign val="superscript"/>
        <sz val="12"/>
        <color rgb="FF0070C0"/>
        <rFont val="Times New Roman"/>
        <family val="1"/>
        <charset val="238"/>
      </rPr>
      <t>3</t>
    </r>
    <r>
      <rPr>
        <b/>
        <sz val="12"/>
        <color rgb="FF0070C0"/>
        <rFont val="Times New Roman"/>
        <family val="1"/>
        <charset val="238"/>
      </rPr>
      <t xml:space="preserve"> =</t>
    </r>
  </si>
  <si>
    <t>pOH = 1</t>
  </si>
  <si>
    <r>
      <t>[OH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]=</t>
    </r>
  </si>
  <si>
    <r>
      <t>mol [OH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]</t>
    </r>
  </si>
  <si>
    <t>pOH = 6</t>
  </si>
  <si>
    <r>
      <t>HCl + 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 xml:space="preserve"> = H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 + Cl</t>
    </r>
    <r>
      <rPr>
        <b/>
        <vertAlign val="superscript"/>
        <sz val="12"/>
        <rFont val="Times New Roman"/>
        <family val="1"/>
        <charset val="238"/>
      </rPr>
      <t>-</t>
    </r>
  </si>
  <si>
    <r>
      <t>1 mol 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 xml:space="preserve"> -hoz kell 1 mol HCl</t>
    </r>
  </si>
  <si>
    <t xml:space="preserve">M (HCl) = </t>
  </si>
  <si>
    <r>
      <t>1 dm</t>
    </r>
    <r>
      <rPr>
        <b/>
        <vertAlign val="superscript"/>
        <sz val="12"/>
        <rFont val="Times New Roman"/>
        <family val="1"/>
        <charset val="238"/>
      </rPr>
      <t>3</t>
    </r>
  </si>
  <si>
    <r>
      <t>dm</t>
    </r>
    <r>
      <rPr>
        <b/>
        <vertAlign val="superscript"/>
        <sz val="12"/>
        <color rgb="FF0070C0"/>
        <rFont val="Times New Roman"/>
        <family val="1"/>
        <charset val="238"/>
      </rPr>
      <t>3</t>
    </r>
    <r>
      <rPr>
        <b/>
        <sz val="12"/>
        <color rgb="FF0070C0"/>
        <rFont val="Times New Roman"/>
        <family val="1"/>
        <charset val="238"/>
      </rPr>
      <t xml:space="preserve"> 37%-os HCl kell</t>
    </r>
  </si>
  <si>
    <r>
      <rPr>
        <b/>
        <sz val="12"/>
        <rFont val="Times New Roman"/>
        <family val="1"/>
        <charset val="238"/>
      </rPr>
      <t>1.</t>
    </r>
    <r>
      <rPr>
        <sz val="12"/>
        <color theme="1"/>
        <rFont val="Times New Roman"/>
        <family val="1"/>
        <charset val="238"/>
      </rPr>
      <t xml:space="preserve"> Mennyi az 1 mol/dm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ecetsav pH-ja? (elhanyagolással és másodfokú egyenlettel)</t>
    </r>
  </si>
  <si>
    <r>
      <t>mol/dm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</si>
  <si>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>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 = gyök(K*[sav])=</t>
    </r>
  </si>
  <si>
    <r>
      <t>x=[H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 =</t>
    </r>
  </si>
  <si>
    <t>Kemalap4_21a</t>
  </si>
  <si>
    <t xml:space="preserve">  11. diáról   --&gt;</t>
  </si>
  <si>
    <r>
      <t>500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20%os és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10%-os ecetsavat (CH</t>
    </r>
    <r>
      <rPr>
        <vertAlign val="sub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COOH) összekeverünk. </t>
    </r>
  </si>
  <si>
    <t>∑ ecetsav = 500*0,2 + 1000*01 =</t>
  </si>
  <si>
    <r>
      <t xml:space="preserve"> g/dm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</t>
    </r>
  </si>
  <si>
    <t xml:space="preserve"> = ∑ ecetsav / ∑ V</t>
  </si>
  <si>
    <r>
      <t>∑ V = 0,5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+ 1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=</t>
    </r>
  </si>
  <si>
    <r>
      <t xml:space="preserve"> dm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</si>
  <si>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>mol/dm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</si>
  <si>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>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]=gyök(K*[sav])=</t>
    </r>
  </si>
  <si>
    <t>5.</t>
  </si>
  <si>
    <t>Az 1%-os mosószóda pH-ja.</t>
  </si>
  <si>
    <t>g/100 ml =</t>
  </si>
  <si>
    <t xml:space="preserve">  g/l =</t>
  </si>
  <si>
    <r>
      <t>[CO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vertAlign val="superscript"/>
        <sz val="12"/>
        <color theme="1"/>
        <rFont val="Times New Roman"/>
        <family val="1"/>
        <charset val="238"/>
      </rPr>
      <t>2-</t>
    </r>
    <r>
      <rPr>
        <sz val="12"/>
        <color theme="1"/>
        <rFont val="Times New Roman"/>
        <family val="1"/>
        <charset val="238"/>
      </rPr>
      <t>]</t>
    </r>
  </si>
  <si>
    <t>(só teljesen disszociál)</t>
  </si>
  <si>
    <t>Kemalap4_21b 6. dia analógiájára</t>
  </si>
  <si>
    <r>
      <t>K</t>
    </r>
    <r>
      <rPr>
        <vertAlign val="subscript"/>
        <sz val="12"/>
        <color theme="1"/>
        <rFont val="Times New Roman"/>
        <family val="1"/>
        <charset val="238"/>
      </rPr>
      <t>v</t>
    </r>
    <r>
      <rPr>
        <sz val="12"/>
        <color theme="1"/>
        <rFont val="Times New Roman"/>
        <family val="1"/>
        <charset val="238"/>
      </rPr>
      <t xml:space="preserve"> = </t>
    </r>
  </si>
  <si>
    <t>Kemalap4_21a 13. dia szerint</t>
  </si>
  <si>
    <t>A mosószóda hidrolízise</t>
  </si>
  <si>
    <r>
      <t>K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 </t>
    </r>
  </si>
  <si>
    <t>A szénsav disszociáció 2. lépés</t>
  </si>
  <si>
    <r>
      <t>Mivel a Na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 xml:space="preserve"> ionok állapotában nincs változás, a folyamat lényege:</t>
    </r>
  </si>
  <si>
    <r>
      <t>[OH-] = [HCO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] = x</t>
    </r>
  </si>
  <si>
    <r>
      <t>[OH-] = x = gyök(K</t>
    </r>
    <r>
      <rPr>
        <vertAlign val="subscript"/>
        <sz val="12"/>
        <color theme="1"/>
        <rFont val="Times New Roman"/>
        <family val="1"/>
        <charset val="238"/>
      </rPr>
      <t>h</t>
    </r>
    <r>
      <rPr>
        <sz val="12"/>
        <color theme="1"/>
        <rFont val="Times New Roman"/>
        <family val="1"/>
        <charset val="238"/>
      </rPr>
      <t>*[CO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vertAlign val="superscript"/>
        <sz val="12"/>
        <color theme="1"/>
        <rFont val="Times New Roman"/>
        <family val="1"/>
        <charset val="238"/>
      </rPr>
      <t>2-</t>
    </r>
    <r>
      <rPr>
        <sz val="12"/>
        <color theme="1"/>
        <rFont val="Times New Roman"/>
        <family val="1"/>
        <charset val="238"/>
      </rPr>
      <t>] =</t>
    </r>
  </si>
  <si>
    <r>
      <t>KOH = K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 xml:space="preserve"> + OH</t>
    </r>
    <r>
      <rPr>
        <vertAlign val="superscript"/>
        <sz val="12"/>
        <color theme="1"/>
        <rFont val="Times New Roman"/>
        <family val="1"/>
        <charset val="238"/>
      </rPr>
      <t>-</t>
    </r>
  </si>
  <si>
    <t xml:space="preserve">[KOH] = </t>
  </si>
  <si>
    <t>Hány vegyes %-os az a kálium-hidroxid oldat, amelynek pH-ja 12? (atomtömegek: H-1, K-39, O-16)</t>
  </si>
  <si>
    <t xml:space="preserve">M (KOH) = </t>
  </si>
  <si>
    <r>
      <t>20 C-on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ammónia-gázt 200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vízben lenyeletünk. Mennyi lesz az oldat pH-ja?</t>
    </r>
  </si>
  <si>
    <t>50 liter 37 vegyes %-os sósavval rendelkezünk.</t>
  </si>
  <si>
    <t>(atomtömegek: H-1, Cl-35,5)</t>
  </si>
  <si>
    <r>
      <t>HCl + 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 xml:space="preserve">  =  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O + Cl</t>
    </r>
    <r>
      <rPr>
        <b/>
        <vertAlign val="superscript"/>
        <sz val="12"/>
        <color theme="1"/>
        <rFont val="Times New Roman"/>
        <family val="1"/>
        <charset val="238"/>
      </rPr>
      <t>-</t>
    </r>
  </si>
  <si>
    <r>
      <t>cm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HCl oldat</t>
    </r>
  </si>
  <si>
    <r>
      <t>g/100cm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</si>
  <si>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t xml:space="preserve">g HCl </t>
  </si>
  <si>
    <t>(atomtömegek: K-39, C-12, O-16)</t>
  </si>
  <si>
    <r>
      <t>Mivel a K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 xml:space="preserve"> ionok állapotában nincs változás, a folyamat lényege:</t>
    </r>
  </si>
  <si>
    <r>
      <t>Mennyi az 5%-os K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oldat pH-ja?</t>
    </r>
  </si>
  <si>
    <t>ZH3 megoldás</t>
  </si>
  <si>
    <t xml:space="preserve">ZH3 </t>
  </si>
  <si>
    <t>Név :</t>
  </si>
  <si>
    <r>
      <t>20 C-on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ammónia-gázt 200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vízben elnyeletünk. Mennyi lesz az oldat pH-ja?</t>
    </r>
  </si>
  <si>
    <t>sóavval rendelkezünk</t>
  </si>
  <si>
    <r>
      <t>mol 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 xml:space="preserve"> aminek a közömbösítésére</t>
    </r>
  </si>
  <si>
    <t xml:space="preserve">mol HCl </t>
  </si>
  <si>
    <t>Ecetsav Ks =</t>
  </si>
  <si>
    <t>(atomtömegek: H-1, S-32, O-16)</t>
  </si>
  <si>
    <r>
      <t>Ezzel hány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13 pH-jú szennyvízet lehet közömbösíten, hogy a pH 7 legyen?</t>
    </r>
  </si>
  <si>
    <r>
      <t>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SO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 xml:space="preserve"> + 2.OH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 xml:space="preserve">  =  2.H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O + SO4</t>
    </r>
    <r>
      <rPr>
        <b/>
        <vertAlign val="superscript"/>
        <sz val="12"/>
        <color theme="1"/>
        <rFont val="Times New Roman"/>
        <family val="1"/>
        <charset val="238"/>
      </rPr>
      <t>--</t>
    </r>
  </si>
  <si>
    <t xml:space="preserve"> &lt;-- pH 13</t>
  </si>
  <si>
    <t>pOH=1</t>
  </si>
  <si>
    <r>
      <t>cm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H2SO4 oldat</t>
    </r>
  </si>
  <si>
    <r>
      <t>g 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SO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 xml:space="preserve">  </t>
    </r>
  </si>
  <si>
    <r>
      <t>mol  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SO</t>
    </r>
    <r>
      <rPr>
        <b/>
        <vertAlign val="subscript"/>
        <sz val="12"/>
        <color theme="1"/>
        <rFont val="Times New Roman"/>
        <family val="1"/>
        <charset val="238"/>
      </rPr>
      <t>4</t>
    </r>
  </si>
  <si>
    <t>kénsavval rendelkezünk</t>
  </si>
  <si>
    <t>Hány vegyes %-os az a kálium-karbonát oldat, amelynek pH-ja 12? (atomtömegek: H-1, K-39, O-16)</t>
  </si>
  <si>
    <r>
      <t>[OH-] = [HCO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] = </t>
    </r>
  </si>
  <si>
    <r>
      <t>[CO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vertAlign val="superscript"/>
        <sz val="12"/>
        <color theme="1"/>
        <rFont val="Times New Roman"/>
        <family val="1"/>
        <charset val="238"/>
      </rPr>
      <t>2-</t>
    </r>
    <r>
      <rPr>
        <sz val="12"/>
        <color theme="1"/>
        <rFont val="Times New Roman"/>
        <family val="1"/>
        <charset val="238"/>
      </rPr>
      <t>] = x*x /Kh =</t>
    </r>
  </si>
  <si>
    <r>
      <t>M(K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CO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) =</t>
    </r>
  </si>
  <si>
    <t>mol/l</t>
  </si>
  <si>
    <t>g/l  =</t>
  </si>
  <si>
    <t xml:space="preserve">      x   *   x</t>
  </si>
  <si>
    <r>
      <t>[NH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OH]</t>
    </r>
  </si>
  <si>
    <r>
      <t>20 C-on 3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ammónia-gázt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vízben elnyeletünk. Mennyi lesz az oldat pH-ja?</t>
    </r>
  </si>
  <si>
    <t>30 liter 20 vegyes %-os kénsavval rendelkezünk.</t>
  </si>
  <si>
    <r>
      <t>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20%os és 800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10%-os ecetsavat (CH</t>
    </r>
    <r>
      <rPr>
        <vertAlign val="sub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COOH) összekeverünk. </t>
    </r>
  </si>
  <si>
    <t>∑ ecetsav = 1000*0,2 + 800*01 =</t>
  </si>
  <si>
    <r>
      <t>∑ V = 1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+ 0,8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</si>
</sst>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00"/>
    <numFmt numFmtId="165" formatCode="0.000"/>
    <numFmt numFmtId="166" formatCode="0.00000000"/>
    <numFmt numFmtId="167" formatCode="_-* #,##0_-;\-* #,##0_-;_-* &quot;-&quot;??_-;_-@_-"/>
    <numFmt numFmtId="168" formatCode="_-* #,##0.000_-;\-* #,##0.000_-;_-* &quot;-&quot;??_-;_-@_-"/>
    <numFmt numFmtId="169" formatCode="0.0000"/>
    <numFmt numFmtId="170" formatCode="0.0000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vertAlign val="superscript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vertAlign val="superscript"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vertAlign val="superscript"/>
      <sz val="12"/>
      <color rgb="FF0070C0"/>
      <name val="Times New Roman"/>
      <family val="1"/>
      <charset val="238"/>
    </font>
    <font>
      <b/>
      <sz val="12"/>
      <color theme="9" tint="-0.249977111117893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2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5" fillId="0" borderId="9" xfId="0" applyFont="1" applyBorder="1"/>
    <xf numFmtId="11" fontId="5" fillId="0" borderId="0" xfId="0" applyNumberFormat="1" applyFont="1"/>
    <xf numFmtId="0" fontId="9" fillId="0" borderId="0" xfId="0" applyFont="1"/>
    <xf numFmtId="0" fontId="9" fillId="2" borderId="0" xfId="0" applyFont="1" applyFill="1"/>
    <xf numFmtId="0" fontId="5" fillId="2" borderId="0" xfId="0" applyFont="1" applyFill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2" xfId="0" applyFont="1" applyFill="1" applyBorder="1"/>
    <xf numFmtId="0" fontId="12" fillId="2" borderId="1" xfId="0" applyFont="1" applyFill="1" applyBorder="1"/>
    <xf numFmtId="0" fontId="9" fillId="2" borderId="4" xfId="0" applyFont="1" applyFill="1" applyBorder="1"/>
    <xf numFmtId="0" fontId="9" fillId="2" borderId="6" xfId="0" applyFont="1" applyFill="1" applyBorder="1"/>
    <xf numFmtId="0" fontId="9" fillId="2" borderId="3" xfId="0" applyFont="1" applyFill="1" applyBorder="1"/>
    <xf numFmtId="0" fontId="9" fillId="0" borderId="0" xfId="0" applyFont="1" applyFill="1"/>
    <xf numFmtId="2" fontId="12" fillId="2" borderId="1" xfId="0" applyNumberFormat="1" applyFont="1" applyFill="1" applyBorder="1"/>
    <xf numFmtId="0" fontId="9" fillId="2" borderId="10" xfId="0" applyFont="1" applyFill="1" applyBorder="1"/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2" borderId="9" xfId="0" applyFont="1" applyFill="1" applyBorder="1"/>
    <xf numFmtId="0" fontId="9" fillId="2" borderId="13" xfId="0" applyFont="1" applyFill="1" applyBorder="1" applyAlignment="1">
      <alignment horizontal="right"/>
    </xf>
    <xf numFmtId="0" fontId="9" fillId="0" borderId="0" xfId="0" applyFont="1" applyBorder="1"/>
    <xf numFmtId="0" fontId="9" fillId="2" borderId="1" xfId="0" applyFont="1" applyFill="1" applyBorder="1" applyAlignment="1">
      <alignment horizontal="right"/>
    </xf>
    <xf numFmtId="165" fontId="12" fillId="2" borderId="3" xfId="0" applyNumberFormat="1" applyFont="1" applyFill="1" applyBorder="1"/>
    <xf numFmtId="0" fontId="9" fillId="0" borderId="0" xfId="0" applyFont="1" applyAlignment="1">
      <alignment horizontal="center"/>
    </xf>
    <xf numFmtId="165" fontId="9" fillId="2" borderId="0" xfId="0" applyNumberFormat="1" applyFont="1" applyFill="1"/>
    <xf numFmtId="165" fontId="9" fillId="2" borderId="7" xfId="0" applyNumberFormat="1" applyFont="1" applyFill="1" applyBorder="1"/>
    <xf numFmtId="0" fontId="9" fillId="0" borderId="5" xfId="0" applyFont="1" applyBorder="1"/>
    <xf numFmtId="0" fontId="9" fillId="2" borderId="5" xfId="0" applyFont="1" applyFill="1" applyBorder="1"/>
    <xf numFmtId="0" fontId="9" fillId="0" borderId="6" xfId="0" applyFont="1" applyBorder="1"/>
    <xf numFmtId="0" fontId="5" fillId="0" borderId="0" xfId="0" applyFont="1" applyAlignment="1">
      <alignment horizontal="left"/>
    </xf>
    <xf numFmtId="166" fontId="5" fillId="0" borderId="0" xfId="0" applyNumberFormat="1" applyFont="1"/>
    <xf numFmtId="0" fontId="9" fillId="0" borderId="1" xfId="0" applyFont="1" applyBorder="1"/>
    <xf numFmtId="0" fontId="9" fillId="0" borderId="2" xfId="0" applyFont="1" applyBorder="1"/>
    <xf numFmtId="165" fontId="5" fillId="0" borderId="0" xfId="0" applyNumberFormat="1" applyFont="1"/>
    <xf numFmtId="0" fontId="9" fillId="0" borderId="1" xfId="0" applyFont="1" applyBorder="1" applyAlignment="1">
      <alignment horizontal="right"/>
    </xf>
    <xf numFmtId="165" fontId="9" fillId="0" borderId="2" xfId="0" applyNumberFormat="1" applyFont="1" applyBorder="1" applyAlignment="1">
      <alignment horizontal="center"/>
    </xf>
    <xf numFmtId="2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1" xfId="0" applyFont="1" applyBorder="1"/>
    <xf numFmtId="0" fontId="14" fillId="0" borderId="0" xfId="0" applyFont="1"/>
    <xf numFmtId="167" fontId="16" fillId="2" borderId="0" xfId="1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/>
    <xf numFmtId="167" fontId="1" fillId="2" borderId="0" xfId="0" applyNumberFormat="1" applyFont="1" applyFill="1"/>
    <xf numFmtId="0" fontId="1" fillId="0" borderId="0" xfId="0" applyFont="1" applyAlignment="1">
      <alignment horizontal="left"/>
    </xf>
    <xf numFmtId="168" fontId="1" fillId="2" borderId="0" xfId="0" applyNumberFormat="1" applyFont="1" applyFill="1"/>
    <xf numFmtId="168" fontId="1" fillId="0" borderId="0" xfId="0" applyNumberFormat="1" applyFont="1"/>
    <xf numFmtId="0" fontId="1" fillId="0" borderId="10" xfId="0" applyFont="1" applyBorder="1"/>
    <xf numFmtId="0" fontId="14" fillId="0" borderId="7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2" xfId="0" applyFont="1" applyBorder="1"/>
    <xf numFmtId="167" fontId="9" fillId="0" borderId="9" xfId="0" applyNumberFormat="1" applyFont="1" applyBorder="1"/>
    <xf numFmtId="0" fontId="1" fillId="0" borderId="8" xfId="0" applyFont="1" applyBorder="1"/>
    <xf numFmtId="0" fontId="9" fillId="0" borderId="0" xfId="0" applyFont="1" applyAlignment="1">
      <alignment horizontal="right"/>
    </xf>
    <xf numFmtId="43" fontId="12" fillId="2" borderId="1" xfId="0" applyNumberFormat="1" applyFont="1" applyFill="1" applyBorder="1"/>
    <xf numFmtId="0" fontId="14" fillId="2" borderId="3" xfId="0" applyFont="1" applyFill="1" applyBorder="1"/>
    <xf numFmtId="0" fontId="19" fillId="2" borderId="2" xfId="0" applyFont="1" applyFill="1" applyBorder="1"/>
    <xf numFmtId="164" fontId="1" fillId="2" borderId="0" xfId="0" applyNumberFormat="1" applyFont="1" applyFill="1"/>
    <xf numFmtId="0" fontId="1" fillId="0" borderId="1" xfId="0" applyFont="1" applyBorder="1" applyAlignment="1">
      <alignment horizontal="right"/>
    </xf>
    <xf numFmtId="165" fontId="12" fillId="2" borderId="2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right"/>
    </xf>
    <xf numFmtId="0" fontId="20" fillId="3" borderId="0" xfId="0" applyFont="1" applyFill="1"/>
    <xf numFmtId="16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4" fillId="0" borderId="1" xfId="0" applyFont="1" applyBorder="1" applyAlignment="1">
      <alignment horizontal="right"/>
    </xf>
    <xf numFmtId="169" fontId="5" fillId="0" borderId="0" xfId="0" applyNumberFormat="1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11" fontId="5" fillId="4" borderId="0" xfId="0" applyNumberFormat="1" applyFont="1" applyFill="1"/>
    <xf numFmtId="11" fontId="5" fillId="2" borderId="0" xfId="0" applyNumberFormat="1" applyFont="1" applyFill="1"/>
    <xf numFmtId="17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9" fillId="0" borderId="2" xfId="0" applyNumberFormat="1" applyFont="1" applyBorder="1" applyAlignment="1">
      <alignment horizontal="center"/>
    </xf>
    <xf numFmtId="9" fontId="5" fillId="0" borderId="0" xfId="0" applyNumberFormat="1" applyFont="1"/>
    <xf numFmtId="0" fontId="9" fillId="2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11" fontId="5" fillId="0" borderId="0" xfId="0" applyNumberFormat="1" applyFont="1" applyFill="1"/>
    <xf numFmtId="0" fontId="5" fillId="0" borderId="0" xfId="0" applyFont="1" applyFill="1"/>
    <xf numFmtId="0" fontId="9" fillId="0" borderId="10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2" xfId="0" applyFont="1" applyBorder="1"/>
    <xf numFmtId="0" fontId="5" fillId="0" borderId="8" xfId="0" applyFont="1" applyBorder="1"/>
    <xf numFmtId="0" fontId="1" fillId="0" borderId="0" xfId="0" applyFont="1" applyBorder="1"/>
    <xf numFmtId="0" fontId="5" fillId="0" borderId="0" xfId="0" applyFont="1" applyBorder="1"/>
    <xf numFmtId="167" fontId="9" fillId="0" borderId="0" xfId="0" applyNumberFormat="1" applyFont="1" applyBorder="1"/>
    <xf numFmtId="43" fontId="12" fillId="2" borderId="0" xfId="0" applyNumberFormat="1" applyFont="1" applyFill="1" applyBorder="1"/>
    <xf numFmtId="0" fontId="14" fillId="2" borderId="0" xfId="0" applyFont="1" applyFill="1" applyBorder="1"/>
    <xf numFmtId="0" fontId="19" fillId="2" borderId="0" xfId="0" applyFont="1" applyFill="1" applyBorder="1"/>
    <xf numFmtId="0" fontId="9" fillId="0" borderId="0" xfId="0" applyFont="1" applyBorder="1" applyAlignment="1">
      <alignment horizontal="right"/>
    </xf>
    <xf numFmtId="2" fontId="9" fillId="0" borderId="0" xfId="0" applyNumberFormat="1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531812</xdr:colOff>
      <xdr:row>31</xdr:row>
      <xdr:rowOff>7938</xdr:rowOff>
    </xdr:from>
    <xdr:to>
      <xdr:col>6</xdr:col>
      <xdr:colOff>136403</xdr:colOff>
      <xdr:row>34</xdr:row>
      <xdr:rowOff>65388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A1E2B79-6BD5-4980-80E9-933C2675E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587" y="7504113"/>
          <a:ext cx="3070226" cy="636277"/>
        </a:xfrm>
        <a:prstGeom prst="rect">
          <a:avLst/>
        </a:prstGeom>
      </xdr:spPr>
    </xdr:pic>
    <xdr:clientData/>
  </xdr:twoCellAnchor>
  <xdr:twoCellAnchor editAs="oneCell">
    <xdr:from>
      <xdr:col>7</xdr:col>
      <xdr:colOff>96470</xdr:colOff>
      <xdr:row>32</xdr:row>
      <xdr:rowOff>12398</xdr:rowOff>
    </xdr:from>
    <xdr:to>
      <xdr:col>12</xdr:col>
      <xdr:colOff>19327</xdr:colOff>
      <xdr:row>34</xdr:row>
      <xdr:rowOff>71691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A4331C13-36FF-458C-A464-CB0D1B1C0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7682" y="7727648"/>
          <a:ext cx="3696222" cy="454947"/>
        </a:xfrm>
        <a:prstGeom prst="rect">
          <a:avLst/>
        </a:prstGeom>
      </xdr:spPr>
    </xdr:pic>
    <xdr:clientData/>
  </xdr:twoCellAnchor>
  <xdr:twoCellAnchor>
    <xdr:from>
      <xdr:col>0</xdr:col>
      <xdr:colOff>430214</xdr:colOff>
      <xdr:row>46</xdr:row>
      <xdr:rowOff>190500</xdr:rowOff>
    </xdr:from>
    <xdr:to>
      <xdr:col>5</xdr:col>
      <xdr:colOff>404813</xdr:colOff>
      <xdr:row>48</xdr:row>
      <xdr:rowOff>31750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217A8D67-A312-4E37-B6E5-E019259D56E9}"/>
            </a:ext>
          </a:extLst>
        </xdr:cNvPr>
        <xdr:cNvSpPr txBox="1">
          <a:spLocks noChangeArrowheads="1"/>
        </xdr:cNvSpPr>
      </xdr:nvSpPr>
      <xdr:spPr bwMode="auto">
        <a:xfrm>
          <a:off x="430214" y="11134725"/>
          <a:ext cx="3241674" cy="279400"/>
        </a:xfrm>
        <a:prstGeom prst="rect">
          <a:avLst/>
        </a:prstGeom>
        <a:solidFill>
          <a:srgbClr val="FFFF00"/>
        </a:solidFill>
        <a:ln>
          <a:noFill/>
        </a:ln>
        <a:effectLst/>
      </xdr:spPr>
      <xdr:txBody>
        <a:bodyPr wrap="square">
          <a:noAutofit/>
        </a:bodyPr>
        <a:lstStyle>
          <a:defPPr>
            <a:defRPr lang="hu-H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defRPr/>
          </a:pPr>
          <a:r>
            <a:rPr lang="hu-HU" altLang="hu-HU" sz="1400">
              <a:solidFill>
                <a:schemeClr val="tx1"/>
              </a:solidFill>
            </a:rPr>
            <a:t>Na</a:t>
          </a:r>
          <a:r>
            <a:rPr lang="hu-HU" altLang="hu-HU" sz="1400" baseline="-25000">
              <a:solidFill>
                <a:schemeClr val="tx1"/>
              </a:solidFill>
            </a:rPr>
            <a:t>2</a:t>
          </a:r>
          <a:r>
            <a:rPr lang="hu-HU" altLang="hu-HU" sz="1400">
              <a:solidFill>
                <a:schemeClr val="tx1"/>
              </a:solidFill>
            </a:rPr>
            <a:t>CO</a:t>
          </a:r>
          <a:r>
            <a:rPr lang="hu-HU" altLang="hu-HU" sz="1400" baseline="-25000">
              <a:solidFill>
                <a:schemeClr val="tx1"/>
              </a:solidFill>
            </a:rPr>
            <a:t>3</a:t>
          </a:r>
          <a:r>
            <a:rPr lang="hu-HU" altLang="hu-HU" sz="1400">
              <a:solidFill>
                <a:schemeClr val="tx1"/>
              </a:solidFill>
            </a:rPr>
            <a:t> + H</a:t>
          </a:r>
          <a:r>
            <a:rPr lang="hu-HU" altLang="hu-HU" sz="1400" baseline="-25000">
              <a:solidFill>
                <a:schemeClr val="tx1"/>
              </a:solidFill>
            </a:rPr>
            <a:t>2</a:t>
          </a:r>
          <a:r>
            <a:rPr lang="hu-HU" altLang="hu-HU" sz="1400">
              <a:solidFill>
                <a:schemeClr val="tx1"/>
              </a:solidFill>
            </a:rPr>
            <a:t>O  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→ HCO</a:t>
          </a:r>
          <a:r>
            <a:rPr lang="hu-HU" altLang="hu-HU" sz="1400" baseline="-25000">
              <a:solidFill>
                <a:schemeClr val="tx1"/>
              </a:solidFill>
              <a:cs typeface="Arial" charset="0"/>
            </a:rPr>
            <a:t>3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-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 + OH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-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 + 2.Na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+</a:t>
          </a:r>
        </a:p>
      </xdr:txBody>
    </xdr:sp>
    <xdr:clientData/>
  </xdr:twoCellAnchor>
  <xdr:twoCellAnchor>
    <xdr:from>
      <xdr:col>0</xdr:col>
      <xdr:colOff>411164</xdr:colOff>
      <xdr:row>48</xdr:row>
      <xdr:rowOff>198437</xdr:rowOff>
    </xdr:from>
    <xdr:to>
      <xdr:col>4</xdr:col>
      <xdr:colOff>293689</xdr:colOff>
      <xdr:row>50</xdr:row>
      <xdr:rowOff>60674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2FADAC75-B016-48AC-A00E-0D80F6465FA5}"/>
            </a:ext>
          </a:extLst>
        </xdr:cNvPr>
        <xdr:cNvSpPr txBox="1">
          <a:spLocks noChangeArrowheads="1"/>
        </xdr:cNvSpPr>
      </xdr:nvSpPr>
      <xdr:spPr bwMode="auto">
        <a:xfrm>
          <a:off x="411164" y="11580812"/>
          <a:ext cx="2406650" cy="300387"/>
        </a:xfrm>
        <a:prstGeom prst="rect">
          <a:avLst/>
        </a:prstGeom>
        <a:solidFill>
          <a:srgbClr val="FFFF00"/>
        </a:solidFill>
        <a:ln>
          <a:noFill/>
        </a:ln>
        <a:effectLst/>
      </xdr:spPr>
      <xdr:txBody>
        <a:bodyPr wrap="square">
          <a:spAutoFit/>
        </a:bodyPr>
        <a:lstStyle>
          <a:defPPr>
            <a:defRPr lang="hu-H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hu-HU" altLang="hu-HU" sz="1400" b="0">
              <a:latin typeface="Times New Roman" panose="02020603050405020304" pitchFamily="18" charset="0"/>
            </a:rPr>
            <a:t>CO</a:t>
          </a:r>
          <a:r>
            <a:rPr lang="hu-HU" altLang="hu-HU" sz="1400" b="0" baseline="-25000">
              <a:latin typeface="Times New Roman" panose="02020603050405020304" pitchFamily="18" charset="0"/>
            </a:rPr>
            <a:t>3</a:t>
          </a:r>
          <a:r>
            <a:rPr lang="hu-HU" altLang="hu-HU" sz="1400" b="0" baseline="30000">
              <a:latin typeface="Times New Roman" panose="02020603050405020304" pitchFamily="18" charset="0"/>
            </a:rPr>
            <a:t>2-</a:t>
          </a:r>
          <a:r>
            <a:rPr lang="hu-HU" altLang="hu-HU" sz="1400" b="0">
              <a:latin typeface="Times New Roman" panose="02020603050405020304" pitchFamily="18" charset="0"/>
            </a:rPr>
            <a:t> + H</a:t>
          </a:r>
          <a:r>
            <a:rPr lang="hu-HU" altLang="hu-HU" sz="1400" b="0" baseline="-25000">
              <a:latin typeface="Times New Roman" panose="02020603050405020304" pitchFamily="18" charset="0"/>
            </a:rPr>
            <a:t>2</a:t>
          </a:r>
          <a:r>
            <a:rPr lang="hu-HU" altLang="hu-HU" sz="1400" b="0">
              <a:latin typeface="Times New Roman" panose="02020603050405020304" pitchFamily="18" charset="0"/>
            </a:rPr>
            <a:t>O  </a:t>
          </a:r>
          <a:r>
            <a:rPr lang="hu-HU" altLang="hu-HU" sz="1400" b="0">
              <a:latin typeface="Times New Roman" panose="02020603050405020304" pitchFamily="18" charset="0"/>
              <a:cs typeface="Times New Roman" panose="02020603050405020304" pitchFamily="18" charset="0"/>
            </a:rPr>
            <a:t>↔</a:t>
          </a:r>
          <a:r>
            <a:rPr lang="hu-HU" altLang="hu-HU" sz="1400" b="0">
              <a:latin typeface="Times New Roman" panose="02020603050405020304" pitchFamily="18" charset="0"/>
              <a:cs typeface="Arial" panose="020B0604020202020204" pitchFamily="34" charset="0"/>
            </a:rPr>
            <a:t> HCO</a:t>
          </a:r>
          <a:r>
            <a:rPr lang="hu-HU" altLang="hu-HU" sz="1400" b="0" baseline="-25000">
              <a:latin typeface="Times New Roman" panose="02020603050405020304" pitchFamily="18" charset="0"/>
              <a:cs typeface="Arial" panose="020B0604020202020204" pitchFamily="34" charset="0"/>
            </a:rPr>
            <a:t>3</a:t>
          </a:r>
          <a:r>
            <a:rPr lang="hu-HU" altLang="hu-HU" sz="1400" b="0" baseline="30000">
              <a:latin typeface="Times New Roman" panose="02020603050405020304" pitchFamily="18" charset="0"/>
              <a:cs typeface="Arial" panose="020B0604020202020204" pitchFamily="34" charset="0"/>
            </a:rPr>
            <a:t>-</a:t>
          </a:r>
          <a:r>
            <a:rPr lang="hu-HU" altLang="hu-HU" sz="1400" b="0">
              <a:latin typeface="Times New Roman" panose="02020603050405020304" pitchFamily="18" charset="0"/>
              <a:cs typeface="Arial" panose="020B0604020202020204" pitchFamily="34" charset="0"/>
            </a:rPr>
            <a:t> + OH</a:t>
          </a:r>
          <a:r>
            <a:rPr lang="hu-HU" altLang="hu-HU" sz="1400" b="0" baseline="30000">
              <a:latin typeface="Times New Roman" panose="02020603050405020304" pitchFamily="18" charset="0"/>
              <a:cs typeface="Arial" panose="020B0604020202020204" pitchFamily="34" charset="0"/>
            </a:rPr>
            <a:t>-</a:t>
          </a:r>
        </a:p>
      </xdr:txBody>
    </xdr:sp>
    <xdr:clientData/>
  </xdr:twoCellAnchor>
  <xdr:twoCellAnchor editAs="oneCell">
    <xdr:from>
      <xdr:col>9</xdr:col>
      <xdr:colOff>627063</xdr:colOff>
      <xdr:row>45</xdr:row>
      <xdr:rowOff>157531</xdr:rowOff>
    </xdr:from>
    <xdr:to>
      <xdr:col>12</xdr:col>
      <xdr:colOff>384419</xdr:colOff>
      <xdr:row>47</xdr:row>
      <xdr:rowOff>153419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AC12BD65-BC0C-42AF-999F-364B0E51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988" y="10863631"/>
          <a:ext cx="1998662" cy="376888"/>
        </a:xfrm>
        <a:prstGeom prst="rect">
          <a:avLst/>
        </a:prstGeom>
        <a:solidFill>
          <a:srgbClr val="FFC000"/>
        </a:solidFill>
        <a:ln>
          <a:noFill/>
        </a:ln>
        <a:effectLst/>
      </xdr:spPr>
    </xdr:pic>
    <xdr:clientData/>
  </xdr:twoCellAnchor>
  <xdr:twoCellAnchor editAs="oneCell">
    <xdr:from>
      <xdr:col>8</xdr:col>
      <xdr:colOff>231407</xdr:colOff>
      <xdr:row>47</xdr:row>
      <xdr:rowOff>70073</xdr:rowOff>
    </xdr:from>
    <xdr:to>
      <xdr:col>12</xdr:col>
      <xdr:colOff>544390</xdr:colOff>
      <xdr:row>50</xdr:row>
      <xdr:rowOff>30279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756B4332-0476-4648-A13C-08AE5305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88" y="11265611"/>
          <a:ext cx="3251079" cy="597648"/>
        </a:xfrm>
        <a:prstGeom prst="rect">
          <a:avLst/>
        </a:prstGeom>
        <a:solidFill>
          <a:srgbClr val="FFC000"/>
        </a:solidFill>
        <a:ln>
          <a:noFill/>
        </a:ln>
        <a:effectLst/>
      </xdr:spPr>
    </xdr:pic>
    <xdr:clientData/>
  </xdr:twoCellAnchor>
  <xdr:oneCellAnchor>
    <xdr:from>
      <xdr:col>9</xdr:col>
      <xdr:colOff>677922</xdr:colOff>
      <xdr:row>45</xdr:row>
      <xdr:rowOff>222250</xdr:rowOff>
    </xdr:from>
    <xdr:ext cx="45719" cy="155558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88F6ED33-93A1-4C98-B2AE-C0CDDDBABF6B}"/>
            </a:ext>
          </a:extLst>
        </xdr:cNvPr>
        <xdr:cNvSpPr txBox="1"/>
      </xdr:nvSpPr>
      <xdr:spPr>
        <a:xfrm flipH="1">
          <a:off x="6935847" y="10928350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</xdr:col>
      <xdr:colOff>571501</xdr:colOff>
      <xdr:row>50</xdr:row>
      <xdr:rowOff>79375</xdr:rowOff>
    </xdr:from>
    <xdr:ext cx="5413375" cy="4980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Szövegdoboz 8">
              <a:extLst>
                <a:ext uri="{FF2B5EF4-FFF2-40B4-BE49-F238E27FC236}">
                  <a16:creationId xmlns:a16="http://schemas.microsoft.com/office/drawing/2014/main" id="{FC4D3518-667A-4E54-A16D-8C829AB52A09}"/>
                </a:ext>
              </a:extLst>
            </xdr:cNvPr>
            <xdr:cNvSpPr txBox="1"/>
          </xdr:nvSpPr>
          <xdr:spPr>
            <a:xfrm>
              <a:off x="1057276" y="11899900"/>
              <a:ext cx="5413375" cy="49808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K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O</m:t>
                        </m:r>
                        <m:sSup>
                          <m:s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e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</m:sup>
                        </m:s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</m:t>
                        </m:r>
                        <m:sSubSup>
                          <m:sSub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e>
                          <m:sub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O</m:t>
                            </m:r>
                            <m:sSup>
                              <m:sSupPr>
                                <m:ctrlPr>
                                  <a:rPr lang="hu-HU" sz="14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e>
                              <m:sup>
                                <m:r>
                                  <a:rPr lang="hu-HU" sz="1400" b="0" i="0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p>
                            </m:sSup>
                          </m:e>
                        </m:d>
                        <m:r>
                          <a:rPr lang="hu-HU" sz="1400" b="0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hu-HU" sz="1400" b="1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[</m:t>
                        </m:r>
                        <m:sSup>
                          <m:sSupPr>
                            <m:ctrlPr>
                              <a:rPr lang="hu-HU" sz="14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hu-HU" sz="14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𝐇</m:t>
                            </m:r>
                          </m:e>
                          <m:sup>
                            <m:r>
                              <a:rPr lang="hu-HU" sz="14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</m:sup>
                        </m:sSup>
                        <m:r>
                          <a:rPr lang="hu-HU" sz="1400" b="1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]</m:t>
                        </m:r>
                      </m:num>
                      <m:den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hu-HU" sz="1400" b="1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[</m:t>
                        </m:r>
                        <m:sSup>
                          <m:sSupPr>
                            <m:ctrlPr>
                              <a:rPr lang="hu-HU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hu-HU" sz="1400" b="1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𝐇</m:t>
                            </m:r>
                          </m:e>
                          <m:sup>
                            <m:r>
                              <a:rPr lang="hu-HU" sz="1400" b="1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</m:sup>
                        </m:sSup>
                        <m:r>
                          <a:rPr lang="hu-HU" sz="1400" b="1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]</m:t>
                        </m:r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hu-HU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hu-HU" sz="14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K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V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K</m:t>
                            </m:r>
                          </m:e>
                          <m:sub>
                            <m: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hu-HU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1,00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−14</m:t>
                        </m:r>
                      </m:num>
                      <m:den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4,70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−11</m:t>
                        </m:r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</m:oMath>
                </m:oMathPara>
              </a14:m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9" name="Szövegdoboz 8">
              <a:extLst>
                <a:ext uri="{FF2B5EF4-FFF2-40B4-BE49-F238E27FC236}">
                  <a16:creationId xmlns:a16="http://schemas.microsoft.com/office/drawing/2014/main" id="{FC4D3518-667A-4E54-A16D-8C829AB52A09}"/>
                </a:ext>
              </a:extLst>
            </xdr:cNvPr>
            <xdr:cNvSpPr txBox="1"/>
          </xdr:nvSpPr>
          <xdr:spPr>
            <a:xfrm>
              <a:off x="1057276" y="11899900"/>
              <a:ext cx="5413375" cy="49808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u-HU" sz="1400" b="0" i="0">
                  <a:latin typeface="Cambria Math" panose="02040503050406030204" pitchFamily="18" charset="0"/>
                </a:rPr>
                <a:t>K_h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hu-HU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[HCO_3^− ]∗[OH^−])/([CO_3^(2−)])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hu-HU" sz="14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[HCO_3^− ]∗</a:t>
              </a:r>
              <a:r>
                <a:rPr lang="hu-HU" sz="14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[OH^− ]∗</a:t>
              </a:r>
              <a:r>
                <a:rPr lang="hu-HU" sz="14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[𝐇^+]</a:t>
              </a:r>
              <a:r>
                <a:rPr lang="hu-HU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[CO_3^(2−) ]∗</a:t>
              </a:r>
              <a:r>
                <a:rPr lang="hu-HU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[𝐇^+])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</a:t>
              </a:r>
              <a:r>
                <a:rPr lang="hu-HU" sz="14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K_V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/K_2 =(1,00E−14)/(4,70E−11)=</a:t>
              </a:r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127001</xdr:colOff>
      <xdr:row>53</xdr:row>
      <xdr:rowOff>150813</xdr:rowOff>
    </xdr:from>
    <xdr:ext cx="1452562" cy="4208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Szövegdoboz 9">
              <a:extLst>
                <a:ext uri="{FF2B5EF4-FFF2-40B4-BE49-F238E27FC236}">
                  <a16:creationId xmlns:a16="http://schemas.microsoft.com/office/drawing/2014/main" id="{D5DA695F-89C8-4C2D-BDAF-B1BF16D304EF}"/>
                </a:ext>
              </a:extLst>
            </xdr:cNvPr>
            <xdr:cNvSpPr txBox="1"/>
          </xdr:nvSpPr>
          <xdr:spPr>
            <a:xfrm>
              <a:off x="2651126" y="12571413"/>
              <a:ext cx="1452562" cy="420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K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</m:num>
                      <m:den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</m:t>
                        </m:r>
                        <m:sSubSup>
                          <m:sSub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e>
                          <m:sub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10" name="Szövegdoboz 9">
              <a:extLst>
                <a:ext uri="{FF2B5EF4-FFF2-40B4-BE49-F238E27FC236}">
                  <a16:creationId xmlns:a16="http://schemas.microsoft.com/office/drawing/2014/main" id="{D5DA695F-89C8-4C2D-BDAF-B1BF16D304EF}"/>
                </a:ext>
              </a:extLst>
            </xdr:cNvPr>
            <xdr:cNvSpPr txBox="1"/>
          </xdr:nvSpPr>
          <xdr:spPr>
            <a:xfrm>
              <a:off x="2651126" y="12571413"/>
              <a:ext cx="1452562" cy="420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u-HU" sz="1400" b="0" i="0">
                  <a:latin typeface="Cambria Math" panose="02040503050406030204" pitchFamily="18" charset="0"/>
                </a:rPr>
                <a:t>K_h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hu-HU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x∗x)/([CO_3^(2−)])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677922</xdr:colOff>
      <xdr:row>15</xdr:row>
      <xdr:rowOff>0</xdr:rowOff>
    </xdr:from>
    <xdr:ext cx="45719" cy="155558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510CA757-F160-4AB9-BB96-C65711A4171C}"/>
            </a:ext>
          </a:extLst>
        </xdr:cNvPr>
        <xdr:cNvSpPr txBox="1"/>
      </xdr:nvSpPr>
      <xdr:spPr>
        <a:xfrm flipH="1">
          <a:off x="6373872" y="7394575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9</xdr:col>
      <xdr:colOff>677922</xdr:colOff>
      <xdr:row>12</xdr:row>
      <xdr:rowOff>222250</xdr:rowOff>
    </xdr:from>
    <xdr:ext cx="45719" cy="155558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BAC2F51E-F8B4-42E4-A6D3-0C6F7FEA2A18}"/>
            </a:ext>
          </a:extLst>
        </xdr:cNvPr>
        <xdr:cNvSpPr txBox="1"/>
      </xdr:nvSpPr>
      <xdr:spPr>
        <a:xfrm flipH="1">
          <a:off x="6373872" y="6280150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554039</xdr:colOff>
      <xdr:row>33</xdr:row>
      <xdr:rowOff>228600</xdr:rowOff>
    </xdr:from>
    <xdr:to>
      <xdr:col>6</xdr:col>
      <xdr:colOff>0</xdr:colOff>
      <xdr:row>35</xdr:row>
      <xdr:rowOff>31750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5158105B-134B-459F-BAA6-B7E3B1B0E474}"/>
            </a:ext>
          </a:extLst>
        </xdr:cNvPr>
        <xdr:cNvSpPr txBox="1">
          <a:spLocks noChangeArrowheads="1"/>
        </xdr:cNvSpPr>
      </xdr:nvSpPr>
      <xdr:spPr bwMode="auto">
        <a:xfrm>
          <a:off x="554039" y="7639050"/>
          <a:ext cx="3103561" cy="241300"/>
        </a:xfrm>
        <a:prstGeom prst="rect">
          <a:avLst/>
        </a:prstGeom>
        <a:solidFill>
          <a:srgbClr val="FFFF00"/>
        </a:solidFill>
        <a:ln>
          <a:noFill/>
        </a:ln>
        <a:effectLst/>
      </xdr:spPr>
      <xdr:txBody>
        <a:bodyPr wrap="square">
          <a:noAutofit/>
        </a:bodyPr>
        <a:lstStyle>
          <a:defPPr>
            <a:defRPr lang="hu-H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defRPr/>
          </a:pPr>
          <a:r>
            <a:rPr lang="hu-HU" altLang="hu-HU" sz="1400" baseline="0">
              <a:solidFill>
                <a:schemeClr val="tx1"/>
              </a:solidFill>
            </a:rPr>
            <a:t>K</a:t>
          </a:r>
          <a:r>
            <a:rPr lang="hu-HU" altLang="hu-HU" sz="1400" baseline="-25000">
              <a:solidFill>
                <a:schemeClr val="tx1"/>
              </a:solidFill>
            </a:rPr>
            <a:t>2</a:t>
          </a:r>
          <a:r>
            <a:rPr lang="hu-HU" altLang="hu-HU" sz="1400">
              <a:solidFill>
                <a:schemeClr val="tx1"/>
              </a:solidFill>
            </a:rPr>
            <a:t>CO</a:t>
          </a:r>
          <a:r>
            <a:rPr lang="hu-HU" altLang="hu-HU" sz="1400" baseline="-25000">
              <a:solidFill>
                <a:schemeClr val="tx1"/>
              </a:solidFill>
            </a:rPr>
            <a:t>3</a:t>
          </a:r>
          <a:r>
            <a:rPr lang="hu-HU" altLang="hu-HU" sz="1400">
              <a:solidFill>
                <a:schemeClr val="tx1"/>
              </a:solidFill>
            </a:rPr>
            <a:t> + H</a:t>
          </a:r>
          <a:r>
            <a:rPr lang="hu-HU" altLang="hu-HU" sz="1400" baseline="-25000">
              <a:solidFill>
                <a:schemeClr val="tx1"/>
              </a:solidFill>
            </a:rPr>
            <a:t>2</a:t>
          </a:r>
          <a:r>
            <a:rPr lang="hu-HU" altLang="hu-HU" sz="1400">
              <a:solidFill>
                <a:schemeClr val="tx1"/>
              </a:solidFill>
            </a:rPr>
            <a:t>O  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→ HCO</a:t>
          </a:r>
          <a:r>
            <a:rPr lang="hu-HU" altLang="hu-HU" sz="1400" baseline="-25000">
              <a:solidFill>
                <a:schemeClr val="tx1"/>
              </a:solidFill>
              <a:cs typeface="Arial" charset="0"/>
            </a:rPr>
            <a:t>3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-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 + OH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-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 + 2.K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+</a:t>
          </a:r>
        </a:p>
      </xdr:txBody>
    </xdr:sp>
    <xdr:clientData/>
  </xdr:twoCellAnchor>
  <xdr:twoCellAnchor>
    <xdr:from>
      <xdr:col>1</xdr:col>
      <xdr:colOff>1589</xdr:colOff>
      <xdr:row>35</xdr:row>
      <xdr:rowOff>198437</xdr:rowOff>
    </xdr:from>
    <xdr:to>
      <xdr:col>4</xdr:col>
      <xdr:colOff>561975</xdr:colOff>
      <xdr:row>37</xdr:row>
      <xdr:rowOff>60674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13EDB553-23B3-414D-A707-596B117E4A34}"/>
            </a:ext>
          </a:extLst>
        </xdr:cNvPr>
        <xdr:cNvSpPr txBox="1">
          <a:spLocks noChangeArrowheads="1"/>
        </xdr:cNvSpPr>
      </xdr:nvSpPr>
      <xdr:spPr bwMode="auto">
        <a:xfrm>
          <a:off x="611189" y="8047037"/>
          <a:ext cx="2389186" cy="300387"/>
        </a:xfrm>
        <a:prstGeom prst="rect">
          <a:avLst/>
        </a:prstGeom>
        <a:solidFill>
          <a:srgbClr val="FFFF00"/>
        </a:solidFill>
        <a:ln>
          <a:noFill/>
        </a:ln>
        <a:effectLst/>
      </xdr:spPr>
      <xdr:txBody>
        <a:bodyPr wrap="square">
          <a:spAutoFit/>
        </a:bodyPr>
        <a:lstStyle>
          <a:defPPr>
            <a:defRPr lang="hu-H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hu-HU" altLang="hu-HU" sz="1400" b="0">
              <a:latin typeface="Times New Roman" panose="02020603050405020304" pitchFamily="18" charset="0"/>
            </a:rPr>
            <a:t>CO</a:t>
          </a:r>
          <a:r>
            <a:rPr lang="hu-HU" altLang="hu-HU" sz="1400" b="0" baseline="-25000">
              <a:latin typeface="Times New Roman" panose="02020603050405020304" pitchFamily="18" charset="0"/>
            </a:rPr>
            <a:t>3</a:t>
          </a:r>
          <a:r>
            <a:rPr lang="hu-HU" altLang="hu-HU" sz="1400" b="0" baseline="30000">
              <a:latin typeface="Times New Roman" panose="02020603050405020304" pitchFamily="18" charset="0"/>
            </a:rPr>
            <a:t>2-</a:t>
          </a:r>
          <a:r>
            <a:rPr lang="hu-HU" altLang="hu-HU" sz="1400" b="0">
              <a:latin typeface="Times New Roman" panose="02020603050405020304" pitchFamily="18" charset="0"/>
            </a:rPr>
            <a:t> + H</a:t>
          </a:r>
          <a:r>
            <a:rPr lang="hu-HU" altLang="hu-HU" sz="1400" b="0" baseline="-25000">
              <a:latin typeface="Times New Roman" panose="02020603050405020304" pitchFamily="18" charset="0"/>
            </a:rPr>
            <a:t>2</a:t>
          </a:r>
          <a:r>
            <a:rPr lang="hu-HU" altLang="hu-HU" sz="1400" b="0">
              <a:latin typeface="Times New Roman" panose="02020603050405020304" pitchFamily="18" charset="0"/>
            </a:rPr>
            <a:t>O  </a:t>
          </a:r>
          <a:r>
            <a:rPr lang="hu-HU" altLang="hu-HU" sz="1400" b="0">
              <a:latin typeface="Times New Roman" panose="02020603050405020304" pitchFamily="18" charset="0"/>
              <a:cs typeface="Times New Roman" panose="02020603050405020304" pitchFamily="18" charset="0"/>
            </a:rPr>
            <a:t>↔</a:t>
          </a:r>
          <a:r>
            <a:rPr lang="hu-HU" altLang="hu-HU" sz="1400" b="0">
              <a:latin typeface="Times New Roman" panose="02020603050405020304" pitchFamily="18" charset="0"/>
              <a:cs typeface="Arial" panose="020B0604020202020204" pitchFamily="34" charset="0"/>
            </a:rPr>
            <a:t> HCO</a:t>
          </a:r>
          <a:r>
            <a:rPr lang="hu-HU" altLang="hu-HU" sz="1400" b="0" baseline="-25000">
              <a:latin typeface="Times New Roman" panose="02020603050405020304" pitchFamily="18" charset="0"/>
              <a:cs typeface="Arial" panose="020B0604020202020204" pitchFamily="34" charset="0"/>
            </a:rPr>
            <a:t>3</a:t>
          </a:r>
          <a:r>
            <a:rPr lang="hu-HU" altLang="hu-HU" sz="1400" b="0" baseline="30000">
              <a:latin typeface="Times New Roman" panose="02020603050405020304" pitchFamily="18" charset="0"/>
              <a:cs typeface="Arial" panose="020B0604020202020204" pitchFamily="34" charset="0"/>
            </a:rPr>
            <a:t>-</a:t>
          </a:r>
          <a:r>
            <a:rPr lang="hu-HU" altLang="hu-HU" sz="1400" b="0">
              <a:latin typeface="Times New Roman" panose="02020603050405020304" pitchFamily="18" charset="0"/>
              <a:cs typeface="Arial" panose="020B0604020202020204" pitchFamily="34" charset="0"/>
            </a:rPr>
            <a:t> + OH</a:t>
          </a:r>
          <a:r>
            <a:rPr lang="hu-HU" altLang="hu-HU" sz="1400" b="0" baseline="30000">
              <a:latin typeface="Times New Roman" panose="02020603050405020304" pitchFamily="18" charset="0"/>
              <a:cs typeface="Arial" panose="020B0604020202020204" pitchFamily="34" charset="0"/>
            </a:rPr>
            <a:t>-</a:t>
          </a:r>
        </a:p>
      </xdr:txBody>
    </xdr:sp>
    <xdr:clientData/>
  </xdr:twoCellAnchor>
  <xdr:twoCellAnchor editAs="oneCell">
    <xdr:from>
      <xdr:col>9</xdr:col>
      <xdr:colOff>627063</xdr:colOff>
      <xdr:row>32</xdr:row>
      <xdr:rowOff>157531</xdr:rowOff>
    </xdr:from>
    <xdr:to>
      <xdr:col>13</xdr:col>
      <xdr:colOff>168275</xdr:colOff>
      <xdr:row>34</xdr:row>
      <xdr:rowOff>134369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376C65ED-85BE-4B3C-B68E-8C02807F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988" y="10863631"/>
          <a:ext cx="1998662" cy="376888"/>
        </a:xfrm>
        <a:prstGeom prst="rect">
          <a:avLst/>
        </a:prstGeom>
        <a:solidFill>
          <a:srgbClr val="FFC000"/>
        </a:solidFill>
        <a:ln>
          <a:noFill/>
        </a:ln>
        <a:effectLst/>
      </xdr:spPr>
    </xdr:pic>
    <xdr:clientData/>
  </xdr:twoCellAnchor>
  <xdr:twoCellAnchor editAs="oneCell">
    <xdr:from>
      <xdr:col>9</xdr:col>
      <xdr:colOff>150811</xdr:colOff>
      <xdr:row>34</xdr:row>
      <xdr:rowOff>26112</xdr:rowOff>
    </xdr:from>
    <xdr:to>
      <xdr:col>14</xdr:col>
      <xdr:colOff>342899</xdr:colOff>
      <xdr:row>36</xdr:row>
      <xdr:rowOff>165095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F36A30EF-869B-4EC4-B35D-65FDA408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736" y="11208462"/>
          <a:ext cx="3259138" cy="539033"/>
        </a:xfrm>
        <a:prstGeom prst="rect">
          <a:avLst/>
        </a:prstGeom>
        <a:solidFill>
          <a:srgbClr val="FFC000"/>
        </a:solidFill>
        <a:ln>
          <a:noFill/>
        </a:ln>
        <a:effectLst/>
      </xdr:spPr>
    </xdr:pic>
    <xdr:clientData/>
  </xdr:twoCellAnchor>
  <xdr:oneCellAnchor>
    <xdr:from>
      <xdr:col>9</xdr:col>
      <xdr:colOff>677922</xdr:colOff>
      <xdr:row>32</xdr:row>
      <xdr:rowOff>222250</xdr:rowOff>
    </xdr:from>
    <xdr:ext cx="45719" cy="155558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928705C0-591B-4C9B-9885-A34F948D9559}"/>
            </a:ext>
          </a:extLst>
        </xdr:cNvPr>
        <xdr:cNvSpPr txBox="1"/>
      </xdr:nvSpPr>
      <xdr:spPr>
        <a:xfrm flipH="1">
          <a:off x="6935847" y="10928350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0</xdr:col>
      <xdr:colOff>371476</xdr:colOff>
      <xdr:row>37</xdr:row>
      <xdr:rowOff>69850</xdr:rowOff>
    </xdr:from>
    <xdr:ext cx="5413375" cy="4980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Szövegdoboz 6">
              <a:extLst>
                <a:ext uri="{FF2B5EF4-FFF2-40B4-BE49-F238E27FC236}">
                  <a16:creationId xmlns:a16="http://schemas.microsoft.com/office/drawing/2014/main" id="{45366C3C-DC40-4EE6-B0E8-7F656BD5CAD2}"/>
                </a:ext>
              </a:extLst>
            </xdr:cNvPr>
            <xdr:cNvSpPr txBox="1"/>
          </xdr:nvSpPr>
          <xdr:spPr>
            <a:xfrm>
              <a:off x="371476" y="8356600"/>
              <a:ext cx="5413375" cy="49808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K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O</m:t>
                        </m:r>
                        <m:sSup>
                          <m:s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e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</m:sup>
                        </m:s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</m:t>
                        </m:r>
                        <m:sSubSup>
                          <m:sSub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e>
                          <m:sub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O</m:t>
                            </m:r>
                            <m:sSup>
                              <m:sSupPr>
                                <m:ctrlPr>
                                  <a:rPr lang="hu-HU" sz="14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e>
                              <m:sup>
                                <m:r>
                                  <a:rPr lang="hu-HU" sz="1400" b="0" i="0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p>
                            </m:sSup>
                          </m:e>
                        </m:d>
                        <m:r>
                          <a:rPr lang="hu-HU" sz="1400" b="0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hu-HU" sz="1400" b="1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[</m:t>
                        </m:r>
                        <m:sSup>
                          <m:sSupPr>
                            <m:ctrlPr>
                              <a:rPr lang="hu-HU" sz="14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hu-HU" sz="14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𝐇</m:t>
                            </m:r>
                          </m:e>
                          <m:sup>
                            <m:r>
                              <a:rPr lang="hu-HU" sz="14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</m:sup>
                        </m:sSup>
                        <m:r>
                          <a:rPr lang="hu-HU" sz="1400" b="1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]</m:t>
                        </m:r>
                      </m:num>
                      <m:den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hu-HU" sz="1400" b="1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[</m:t>
                        </m:r>
                        <m:sSup>
                          <m:sSupPr>
                            <m:ctrlPr>
                              <a:rPr lang="hu-HU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hu-HU" sz="1400" b="1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𝐇</m:t>
                            </m:r>
                          </m:e>
                          <m:sup>
                            <m:r>
                              <a:rPr lang="hu-HU" sz="1400" b="1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</m:sup>
                        </m:sSup>
                        <m:r>
                          <a:rPr lang="hu-HU" sz="1400" b="1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]</m:t>
                        </m:r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hu-HU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hu-HU" sz="14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K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V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K</m:t>
                            </m:r>
                          </m:e>
                          <m:sub>
                            <m: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hu-HU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1,00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−14</m:t>
                        </m:r>
                      </m:num>
                      <m:den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4,70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−11</m:t>
                        </m:r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</m:oMath>
                </m:oMathPara>
              </a14:m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7" name="Szövegdoboz 6">
              <a:extLst>
                <a:ext uri="{FF2B5EF4-FFF2-40B4-BE49-F238E27FC236}">
                  <a16:creationId xmlns:a16="http://schemas.microsoft.com/office/drawing/2014/main" id="{45366C3C-DC40-4EE6-B0E8-7F656BD5CAD2}"/>
                </a:ext>
              </a:extLst>
            </xdr:cNvPr>
            <xdr:cNvSpPr txBox="1"/>
          </xdr:nvSpPr>
          <xdr:spPr>
            <a:xfrm>
              <a:off x="371476" y="8356600"/>
              <a:ext cx="5413375" cy="49808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u-HU" sz="1400" b="0" i="0">
                  <a:latin typeface="Cambria Math" panose="02040503050406030204" pitchFamily="18" charset="0"/>
                </a:rPr>
                <a:t>K_h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hu-HU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[HCO_3^− ]∗[OH^−])/([CO_3^(2−)])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hu-HU" sz="14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[HCO_3^− ]∗</a:t>
              </a:r>
              <a:r>
                <a:rPr lang="hu-HU" sz="14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[OH^− ]∗</a:t>
              </a:r>
              <a:r>
                <a:rPr lang="hu-HU" sz="14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[𝐇^+]</a:t>
              </a:r>
              <a:r>
                <a:rPr lang="hu-HU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[CO_3^(2−) ]∗</a:t>
              </a:r>
              <a:r>
                <a:rPr lang="hu-HU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[𝐇^+])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</a:t>
              </a:r>
              <a:r>
                <a:rPr lang="hu-HU" sz="14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K_V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/K_2 =(1,00E−14)/(4,70E−11)=</a:t>
              </a:r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3176</xdr:colOff>
      <xdr:row>40</xdr:row>
      <xdr:rowOff>131763</xdr:rowOff>
    </xdr:from>
    <xdr:ext cx="1452562" cy="4208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Szövegdoboz 7">
              <a:extLst>
                <a:ext uri="{FF2B5EF4-FFF2-40B4-BE49-F238E27FC236}">
                  <a16:creationId xmlns:a16="http://schemas.microsoft.com/office/drawing/2014/main" id="{69A45AED-53F4-4CF1-8FD5-77CA14BFCF2C}"/>
                </a:ext>
              </a:extLst>
            </xdr:cNvPr>
            <xdr:cNvSpPr txBox="1"/>
          </xdr:nvSpPr>
          <xdr:spPr>
            <a:xfrm>
              <a:off x="2441576" y="9018588"/>
              <a:ext cx="1452562" cy="420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K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</m:num>
                      <m:den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</m:t>
                        </m:r>
                        <m:sSubSup>
                          <m:sSub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e>
                          <m:sub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8" name="Szövegdoboz 7">
              <a:extLst>
                <a:ext uri="{FF2B5EF4-FFF2-40B4-BE49-F238E27FC236}">
                  <a16:creationId xmlns:a16="http://schemas.microsoft.com/office/drawing/2014/main" id="{69A45AED-53F4-4CF1-8FD5-77CA14BFCF2C}"/>
                </a:ext>
              </a:extLst>
            </xdr:cNvPr>
            <xdr:cNvSpPr txBox="1"/>
          </xdr:nvSpPr>
          <xdr:spPr>
            <a:xfrm>
              <a:off x="2441576" y="9018588"/>
              <a:ext cx="1452562" cy="420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u-HU" sz="1400" b="0" i="0">
                  <a:latin typeface="Cambria Math" panose="02040503050406030204" pitchFamily="18" charset="0"/>
                </a:rPr>
                <a:t>K_h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hu-HU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x∗x)/([CO_3^(2−)])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9</xdr:col>
      <xdr:colOff>677922</xdr:colOff>
      <xdr:row>27</xdr:row>
      <xdr:rowOff>222250</xdr:rowOff>
    </xdr:from>
    <xdr:ext cx="45719" cy="155558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484C41D9-7638-441C-A619-CA5BE23D7BF3}"/>
            </a:ext>
          </a:extLst>
        </xdr:cNvPr>
        <xdr:cNvSpPr txBox="1"/>
      </xdr:nvSpPr>
      <xdr:spPr>
        <a:xfrm flipH="1">
          <a:off x="6373872" y="7394575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677922</xdr:colOff>
      <xdr:row>1</xdr:row>
      <xdr:rowOff>222250</xdr:rowOff>
    </xdr:from>
    <xdr:ext cx="45719" cy="155558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3FEAD722-764E-449C-9E91-802A69B6060D}"/>
            </a:ext>
          </a:extLst>
        </xdr:cNvPr>
        <xdr:cNvSpPr txBox="1"/>
      </xdr:nvSpPr>
      <xdr:spPr>
        <a:xfrm flipH="1">
          <a:off x="6373872" y="6261100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0</xdr:col>
      <xdr:colOff>554039</xdr:colOff>
      <xdr:row>4</xdr:row>
      <xdr:rowOff>228600</xdr:rowOff>
    </xdr:from>
    <xdr:to>
      <xdr:col>6</xdr:col>
      <xdr:colOff>0</xdr:colOff>
      <xdr:row>6</xdr:row>
      <xdr:rowOff>31750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72A3318-4841-4935-8F63-569167ABE26D}"/>
            </a:ext>
          </a:extLst>
        </xdr:cNvPr>
        <xdr:cNvSpPr txBox="1">
          <a:spLocks noChangeArrowheads="1"/>
        </xdr:cNvSpPr>
      </xdr:nvSpPr>
      <xdr:spPr bwMode="auto">
        <a:xfrm>
          <a:off x="554039" y="7620000"/>
          <a:ext cx="3103561" cy="241300"/>
        </a:xfrm>
        <a:prstGeom prst="rect">
          <a:avLst/>
        </a:prstGeom>
        <a:solidFill>
          <a:srgbClr val="FFFF00"/>
        </a:solidFill>
        <a:ln>
          <a:noFill/>
        </a:ln>
        <a:effectLst/>
      </xdr:spPr>
      <xdr:txBody>
        <a:bodyPr wrap="square">
          <a:noAutofit/>
        </a:bodyPr>
        <a:lstStyle>
          <a:defPPr>
            <a:defRPr lang="hu-H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defRPr/>
          </a:pPr>
          <a:r>
            <a:rPr lang="hu-HU" altLang="hu-HU" sz="1400" baseline="0">
              <a:solidFill>
                <a:schemeClr val="tx1"/>
              </a:solidFill>
            </a:rPr>
            <a:t>K</a:t>
          </a:r>
          <a:r>
            <a:rPr lang="hu-HU" altLang="hu-HU" sz="1400" baseline="-25000">
              <a:solidFill>
                <a:schemeClr val="tx1"/>
              </a:solidFill>
            </a:rPr>
            <a:t>2</a:t>
          </a:r>
          <a:r>
            <a:rPr lang="hu-HU" altLang="hu-HU" sz="1400">
              <a:solidFill>
                <a:schemeClr val="tx1"/>
              </a:solidFill>
            </a:rPr>
            <a:t>CO</a:t>
          </a:r>
          <a:r>
            <a:rPr lang="hu-HU" altLang="hu-HU" sz="1400" baseline="-25000">
              <a:solidFill>
                <a:schemeClr val="tx1"/>
              </a:solidFill>
            </a:rPr>
            <a:t>3</a:t>
          </a:r>
          <a:r>
            <a:rPr lang="hu-HU" altLang="hu-HU" sz="1400">
              <a:solidFill>
                <a:schemeClr val="tx1"/>
              </a:solidFill>
            </a:rPr>
            <a:t> + H</a:t>
          </a:r>
          <a:r>
            <a:rPr lang="hu-HU" altLang="hu-HU" sz="1400" baseline="-25000">
              <a:solidFill>
                <a:schemeClr val="tx1"/>
              </a:solidFill>
            </a:rPr>
            <a:t>2</a:t>
          </a:r>
          <a:r>
            <a:rPr lang="hu-HU" altLang="hu-HU" sz="1400">
              <a:solidFill>
                <a:schemeClr val="tx1"/>
              </a:solidFill>
            </a:rPr>
            <a:t>O  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→ HCO</a:t>
          </a:r>
          <a:r>
            <a:rPr lang="hu-HU" altLang="hu-HU" sz="1400" baseline="-25000">
              <a:solidFill>
                <a:schemeClr val="tx1"/>
              </a:solidFill>
              <a:cs typeface="Arial" charset="0"/>
            </a:rPr>
            <a:t>3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-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 + OH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-</a:t>
          </a:r>
          <a:r>
            <a:rPr lang="hu-HU" altLang="hu-HU" sz="1400">
              <a:solidFill>
                <a:schemeClr val="tx1"/>
              </a:solidFill>
              <a:cs typeface="Arial" charset="0"/>
            </a:rPr>
            <a:t> + 2.K</a:t>
          </a:r>
          <a:r>
            <a:rPr lang="hu-HU" altLang="hu-HU" sz="1400" baseline="30000">
              <a:solidFill>
                <a:schemeClr val="tx1"/>
              </a:solidFill>
              <a:cs typeface="Arial" charset="0"/>
            </a:rPr>
            <a:t>+</a:t>
          </a:r>
        </a:p>
      </xdr:txBody>
    </xdr:sp>
    <xdr:clientData/>
  </xdr:twoCellAnchor>
  <xdr:twoCellAnchor>
    <xdr:from>
      <xdr:col>1</xdr:col>
      <xdr:colOff>1589</xdr:colOff>
      <xdr:row>6</xdr:row>
      <xdr:rowOff>198437</xdr:rowOff>
    </xdr:from>
    <xdr:to>
      <xdr:col>4</xdr:col>
      <xdr:colOff>561975</xdr:colOff>
      <xdr:row>8</xdr:row>
      <xdr:rowOff>60674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4B292A6F-B171-4376-BB9A-FEB0F6558734}"/>
            </a:ext>
          </a:extLst>
        </xdr:cNvPr>
        <xdr:cNvSpPr txBox="1">
          <a:spLocks noChangeArrowheads="1"/>
        </xdr:cNvSpPr>
      </xdr:nvSpPr>
      <xdr:spPr bwMode="auto">
        <a:xfrm>
          <a:off x="611189" y="8027987"/>
          <a:ext cx="2389186" cy="300387"/>
        </a:xfrm>
        <a:prstGeom prst="rect">
          <a:avLst/>
        </a:prstGeom>
        <a:solidFill>
          <a:srgbClr val="FFFF00"/>
        </a:solidFill>
        <a:ln>
          <a:noFill/>
        </a:ln>
        <a:effectLst/>
      </xdr:spPr>
      <xdr:txBody>
        <a:bodyPr wrap="square">
          <a:spAutoFit/>
        </a:bodyPr>
        <a:lstStyle>
          <a:defPPr>
            <a:defRPr lang="hu-H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hu-HU" altLang="hu-HU" sz="1400" b="0">
              <a:latin typeface="Times New Roman" panose="02020603050405020304" pitchFamily="18" charset="0"/>
            </a:rPr>
            <a:t>CO</a:t>
          </a:r>
          <a:r>
            <a:rPr lang="hu-HU" altLang="hu-HU" sz="1400" b="0" baseline="-25000">
              <a:latin typeface="Times New Roman" panose="02020603050405020304" pitchFamily="18" charset="0"/>
            </a:rPr>
            <a:t>3</a:t>
          </a:r>
          <a:r>
            <a:rPr lang="hu-HU" altLang="hu-HU" sz="1400" b="0" baseline="30000">
              <a:latin typeface="Times New Roman" panose="02020603050405020304" pitchFamily="18" charset="0"/>
            </a:rPr>
            <a:t>2-</a:t>
          </a:r>
          <a:r>
            <a:rPr lang="hu-HU" altLang="hu-HU" sz="1400" b="0">
              <a:latin typeface="Times New Roman" panose="02020603050405020304" pitchFamily="18" charset="0"/>
            </a:rPr>
            <a:t> + H</a:t>
          </a:r>
          <a:r>
            <a:rPr lang="hu-HU" altLang="hu-HU" sz="1400" b="0" baseline="-25000">
              <a:latin typeface="Times New Roman" panose="02020603050405020304" pitchFamily="18" charset="0"/>
            </a:rPr>
            <a:t>2</a:t>
          </a:r>
          <a:r>
            <a:rPr lang="hu-HU" altLang="hu-HU" sz="1400" b="0">
              <a:latin typeface="Times New Roman" panose="02020603050405020304" pitchFamily="18" charset="0"/>
            </a:rPr>
            <a:t>O  </a:t>
          </a:r>
          <a:r>
            <a:rPr lang="hu-HU" altLang="hu-HU" sz="1400" b="0">
              <a:latin typeface="Times New Roman" panose="02020603050405020304" pitchFamily="18" charset="0"/>
              <a:cs typeface="Times New Roman" panose="02020603050405020304" pitchFamily="18" charset="0"/>
            </a:rPr>
            <a:t>↔</a:t>
          </a:r>
          <a:r>
            <a:rPr lang="hu-HU" altLang="hu-HU" sz="1400" b="0">
              <a:latin typeface="Times New Roman" panose="02020603050405020304" pitchFamily="18" charset="0"/>
              <a:cs typeface="Arial" panose="020B0604020202020204" pitchFamily="34" charset="0"/>
            </a:rPr>
            <a:t> HCO</a:t>
          </a:r>
          <a:r>
            <a:rPr lang="hu-HU" altLang="hu-HU" sz="1400" b="0" baseline="-25000">
              <a:latin typeface="Times New Roman" panose="02020603050405020304" pitchFamily="18" charset="0"/>
              <a:cs typeface="Arial" panose="020B0604020202020204" pitchFamily="34" charset="0"/>
            </a:rPr>
            <a:t>3</a:t>
          </a:r>
          <a:r>
            <a:rPr lang="hu-HU" altLang="hu-HU" sz="1400" b="0" baseline="30000">
              <a:latin typeface="Times New Roman" panose="02020603050405020304" pitchFamily="18" charset="0"/>
              <a:cs typeface="Arial" panose="020B0604020202020204" pitchFamily="34" charset="0"/>
            </a:rPr>
            <a:t>-</a:t>
          </a:r>
          <a:r>
            <a:rPr lang="hu-HU" altLang="hu-HU" sz="1400" b="0">
              <a:latin typeface="Times New Roman" panose="02020603050405020304" pitchFamily="18" charset="0"/>
              <a:cs typeface="Arial" panose="020B0604020202020204" pitchFamily="34" charset="0"/>
            </a:rPr>
            <a:t> + OH</a:t>
          </a:r>
          <a:r>
            <a:rPr lang="hu-HU" altLang="hu-HU" sz="1400" b="0" baseline="30000">
              <a:latin typeface="Times New Roman" panose="02020603050405020304" pitchFamily="18" charset="0"/>
              <a:cs typeface="Arial" panose="020B0604020202020204" pitchFamily="34" charset="0"/>
            </a:rPr>
            <a:t>-</a:t>
          </a:r>
        </a:p>
      </xdr:txBody>
    </xdr:sp>
    <xdr:clientData/>
  </xdr:twoCellAnchor>
  <xdr:oneCellAnchor>
    <xdr:from>
      <xdr:col>9</xdr:col>
      <xdr:colOff>677922</xdr:colOff>
      <xdr:row>4</xdr:row>
      <xdr:rowOff>222250</xdr:rowOff>
    </xdr:from>
    <xdr:ext cx="45719" cy="155558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4B8076E7-5262-4F48-955E-332E113CCA11}"/>
            </a:ext>
          </a:extLst>
        </xdr:cNvPr>
        <xdr:cNvSpPr txBox="1"/>
      </xdr:nvSpPr>
      <xdr:spPr>
        <a:xfrm flipH="1">
          <a:off x="6373872" y="7375525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0</xdr:col>
      <xdr:colOff>371476</xdr:colOff>
      <xdr:row>8</xdr:row>
      <xdr:rowOff>69850</xdr:rowOff>
    </xdr:from>
    <xdr:ext cx="5413375" cy="4980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Szövegdoboz 5">
              <a:extLst>
                <a:ext uri="{FF2B5EF4-FFF2-40B4-BE49-F238E27FC236}">
                  <a16:creationId xmlns:a16="http://schemas.microsoft.com/office/drawing/2014/main" id="{062ACB56-23AD-4A74-BE89-BEC0FBED32BA}"/>
                </a:ext>
              </a:extLst>
            </xdr:cNvPr>
            <xdr:cNvSpPr txBox="1"/>
          </xdr:nvSpPr>
          <xdr:spPr>
            <a:xfrm>
              <a:off x="371476" y="8337550"/>
              <a:ext cx="5413375" cy="49808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K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O</m:t>
                        </m:r>
                        <m:sSup>
                          <m:s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e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</m:sup>
                        </m:s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</m:t>
                        </m:r>
                        <m:sSubSup>
                          <m:sSub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e>
                          <m:sub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O</m:t>
                            </m:r>
                            <m:sSup>
                              <m:sSupPr>
                                <m:ctrlPr>
                                  <a:rPr lang="hu-HU" sz="14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e>
                              <m:sup>
                                <m:r>
                                  <a:rPr lang="hu-HU" sz="1400" b="0" i="0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p>
                            </m:sSup>
                          </m:e>
                        </m:d>
                        <m:r>
                          <a:rPr lang="hu-HU" sz="1400" b="0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hu-HU" sz="1400" b="1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[</m:t>
                        </m:r>
                        <m:sSup>
                          <m:sSupPr>
                            <m:ctrlPr>
                              <a:rPr lang="hu-HU" sz="14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hu-HU" sz="14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𝐇</m:t>
                            </m:r>
                          </m:e>
                          <m:sup>
                            <m:r>
                              <a:rPr lang="hu-HU" sz="14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</m:sup>
                        </m:sSup>
                        <m:r>
                          <a:rPr lang="hu-HU" sz="1400" b="1" i="0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]</m:t>
                        </m:r>
                      </m:num>
                      <m:den>
                        <m:d>
                          <m:dPr>
                            <m:begChr m:val="["/>
                            <m:endChr m:val="]"/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C</m:t>
                            </m:r>
                            <m:sSubSup>
                              <m:sSubSupPr>
                                <m:ctrlPr>
                                  <a:rPr lang="hu-HU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O</m:t>
                                </m:r>
                              </m:e>
                              <m:sub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  <m:sup>
                                <m:r>
                                  <a:rPr lang="hu-HU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2−</m:t>
                                </m:r>
                              </m:sup>
                            </m:sSubSup>
                          </m:e>
                        </m:d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hu-HU" sz="1400" b="1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[</m:t>
                        </m:r>
                        <m:sSup>
                          <m:sSupPr>
                            <m:ctrlPr>
                              <a:rPr lang="hu-HU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hu-HU" sz="1400" b="1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𝐇</m:t>
                            </m:r>
                          </m:e>
                          <m:sup>
                            <m:r>
                              <a:rPr lang="hu-HU" sz="1400" b="1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</m:sup>
                        </m:sSup>
                        <m:r>
                          <a:rPr lang="hu-HU" sz="1400" b="1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]</m:t>
                        </m:r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hu-HU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hu-HU" sz="14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K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V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hu-HU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K</m:t>
                            </m:r>
                          </m:e>
                          <m:sub>
                            <m:r>
                              <a:rPr lang="hu-HU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hu-HU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1,00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−14</m:t>
                        </m:r>
                      </m:num>
                      <m:den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4,70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  <m:r>
                          <a:rPr lang="hu-HU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−11</m:t>
                        </m:r>
                      </m:den>
                    </m:f>
                    <m:r>
                      <a:rPr lang="hu-HU" sz="14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</m:oMath>
                </m:oMathPara>
              </a14:m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6" name="Szövegdoboz 5">
              <a:extLst>
                <a:ext uri="{FF2B5EF4-FFF2-40B4-BE49-F238E27FC236}">
                  <a16:creationId xmlns:a16="http://schemas.microsoft.com/office/drawing/2014/main" id="{062ACB56-23AD-4A74-BE89-BEC0FBED32BA}"/>
                </a:ext>
              </a:extLst>
            </xdr:cNvPr>
            <xdr:cNvSpPr txBox="1"/>
          </xdr:nvSpPr>
          <xdr:spPr>
            <a:xfrm>
              <a:off x="371476" y="8337550"/>
              <a:ext cx="5413375" cy="49808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u-HU" sz="1400" b="0" i="0">
                  <a:latin typeface="Cambria Math" panose="02040503050406030204" pitchFamily="18" charset="0"/>
                </a:rPr>
                <a:t>K_h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hu-HU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[HCO_3^− ]∗[OH^−])/([CO_3^(2−)])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hu-HU" sz="14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[HCO_3^− ]∗</a:t>
              </a:r>
              <a:r>
                <a:rPr lang="hu-HU" sz="14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[OH^− ]∗</a:t>
              </a:r>
              <a:r>
                <a:rPr lang="hu-HU" sz="14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[𝐇^+]</a:t>
              </a:r>
              <a:r>
                <a:rPr lang="hu-HU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[CO_3^(2−) ]∗</a:t>
              </a:r>
              <a:r>
                <a:rPr lang="hu-HU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[𝐇^+])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</a:t>
              </a:r>
              <a:r>
                <a:rPr lang="hu-HU" sz="14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K_V</a:t>
              </a:r>
              <a:r>
                <a:rPr lang="hu-HU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/K_2 =(1,00E−14)/(4,70E−11)=</a:t>
              </a:r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3176</xdr:colOff>
      <xdr:row>11</xdr:row>
      <xdr:rowOff>131763</xdr:rowOff>
    </xdr:from>
    <xdr:ext cx="1452562" cy="4208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Szövegdoboz 7">
              <a:extLst>
                <a:ext uri="{FF2B5EF4-FFF2-40B4-BE49-F238E27FC236}">
                  <a16:creationId xmlns:a16="http://schemas.microsoft.com/office/drawing/2014/main" id="{4F3F7010-9736-4E17-B3BA-35B5D09840AD}"/>
                </a:ext>
              </a:extLst>
            </xdr:cNvPr>
            <xdr:cNvSpPr txBox="1"/>
          </xdr:nvSpPr>
          <xdr:spPr>
            <a:xfrm>
              <a:off x="2441576" y="8999538"/>
              <a:ext cx="1452562" cy="420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K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</m:num>
                      <m:den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[</m:t>
                        </m:r>
                        <m:r>
                          <m:rPr>
                            <m:sty m:val="p"/>
                          </m:rP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</m:t>
                        </m:r>
                        <m:sSubSup>
                          <m:sSubSupPr>
                            <m:ctrlPr>
                              <a:rPr lang="hu-HU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e>
                          <m:sub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hu-HU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  <m:r>
                          <a:rPr lang="hu-HU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hu-HU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8" name="Szövegdoboz 7">
              <a:extLst>
                <a:ext uri="{FF2B5EF4-FFF2-40B4-BE49-F238E27FC236}">
                  <a16:creationId xmlns:a16="http://schemas.microsoft.com/office/drawing/2014/main" id="{4F3F7010-9736-4E17-B3BA-35B5D09840AD}"/>
                </a:ext>
              </a:extLst>
            </xdr:cNvPr>
            <xdr:cNvSpPr txBox="1"/>
          </xdr:nvSpPr>
          <xdr:spPr>
            <a:xfrm>
              <a:off x="2441576" y="8999538"/>
              <a:ext cx="1452562" cy="420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u-HU" sz="1400" b="0" i="0">
                  <a:latin typeface="Cambria Math" panose="02040503050406030204" pitchFamily="18" charset="0"/>
                </a:rPr>
                <a:t>K_h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hu-HU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x∗x)/([CO_3^(2−)])</a:t>
              </a:r>
              <a:r>
                <a:rPr lang="hu-HU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hu-HU" sz="14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5B95-50A0-4F0F-85DD-BDA5C33883C8}">
  <dimension ref="A1:N58"/>
  <sheetViews>
    <sheetView topLeftCell="A16" zoomScale="130" zoomScaleNormal="130" workbookViewId="0">
      <selection activeCell="H2" sqref="H2"/>
    </sheetView>
  </sheetViews>
  <sheetFormatPr defaultRowHeight="15.75" x14ac:dyDescent="0.25"/>
  <cols>
    <col min="1" max="1" width="7.28515625" style="3" customWidth="1"/>
    <col min="2" max="2" width="8.7109375" style="3" customWidth="1"/>
    <col min="3" max="3" width="10" style="3" bestFit="1" customWidth="1"/>
    <col min="4" max="4" width="11.85546875" style="3" customWidth="1"/>
    <col min="5" max="5" width="11.140625" style="3" customWidth="1"/>
    <col min="6" max="6" width="10.28515625" style="3" customWidth="1"/>
    <col min="7" max="7" width="11.42578125" style="3" customWidth="1"/>
    <col min="8" max="8" width="12.5703125" style="3" bestFit="1" customWidth="1"/>
    <col min="9" max="9" width="10.5703125" style="3" customWidth="1"/>
    <col min="10" max="10" width="12.28515625" style="3" customWidth="1"/>
    <col min="11" max="11" width="9.28515625" style="3" bestFit="1" customWidth="1"/>
    <col min="12" max="12" width="11.85546875" style="3" customWidth="1"/>
    <col min="13" max="13" width="9.140625" style="3"/>
    <col min="14" max="14" width="9.42578125" style="3" bestFit="1" customWidth="1"/>
    <col min="15" max="16384" width="9.140625" style="3"/>
  </cols>
  <sheetData>
    <row r="1" spans="1:13" x14ac:dyDescent="0.25">
      <c r="A1" s="1" t="s">
        <v>78</v>
      </c>
      <c r="D1" s="2" t="s">
        <v>0</v>
      </c>
    </row>
    <row r="2" spans="1:13" x14ac:dyDescent="0.25">
      <c r="C2" s="3" t="s">
        <v>1</v>
      </c>
      <c r="E2" s="5" t="s">
        <v>2</v>
      </c>
      <c r="F2" s="36">
        <v>4.7300000000000004</v>
      </c>
      <c r="G2" s="5" t="s">
        <v>3</v>
      </c>
      <c r="H2" s="11">
        <f>POWER(10,-F2)</f>
        <v>1.8620871366628623E-5</v>
      </c>
      <c r="I2" s="37"/>
    </row>
    <row r="3" spans="1:13" ht="18.75" x14ac:dyDescent="0.25">
      <c r="A3" s="1"/>
      <c r="C3" s="3" t="s">
        <v>79</v>
      </c>
      <c r="E3" s="5"/>
      <c r="F3" s="36"/>
      <c r="G3" s="5"/>
      <c r="H3" s="3" t="s">
        <v>80</v>
      </c>
      <c r="I3" s="8"/>
    </row>
    <row r="4" spans="1:13" x14ac:dyDescent="0.25">
      <c r="A4" s="1"/>
      <c r="E4" s="5"/>
      <c r="F4" s="36"/>
      <c r="G4" s="5"/>
      <c r="I4" s="8"/>
    </row>
    <row r="5" spans="1:13" ht="16.5" thickBot="1" x14ac:dyDescent="0.3">
      <c r="A5" s="9" t="s">
        <v>81</v>
      </c>
      <c r="B5" s="3" t="s">
        <v>74</v>
      </c>
      <c r="I5" s="8"/>
    </row>
    <row r="6" spans="1:13" ht="19.5" thickBot="1" x14ac:dyDescent="0.3">
      <c r="B6" s="5" t="s">
        <v>82</v>
      </c>
      <c r="C6" s="3">
        <f>POWER(10,-1)</f>
        <v>0.1</v>
      </c>
      <c r="D6" s="5" t="s">
        <v>83</v>
      </c>
      <c r="E6" s="3">
        <f>C6</f>
        <v>0.1</v>
      </c>
      <c r="F6" s="3" t="s">
        <v>84</v>
      </c>
      <c r="G6" s="3">
        <f>E6/10</f>
        <v>0.01</v>
      </c>
      <c r="H6" s="3" t="s">
        <v>85</v>
      </c>
      <c r="I6" s="38">
        <f>G6*L6</f>
        <v>0.36499999999999999</v>
      </c>
      <c r="J6" s="39" t="s">
        <v>86</v>
      </c>
      <c r="K6" s="5" t="s">
        <v>40</v>
      </c>
      <c r="L6" s="3">
        <f>1+35.5</f>
        <v>36.5</v>
      </c>
      <c r="M6" s="3" t="s">
        <v>5</v>
      </c>
    </row>
    <row r="7" spans="1:13" x14ac:dyDescent="0.25">
      <c r="B7" s="5"/>
      <c r="D7" s="5"/>
      <c r="G7" s="5"/>
      <c r="I7" s="8"/>
    </row>
    <row r="8" spans="1:13" ht="16.5" thickBot="1" x14ac:dyDescent="0.3">
      <c r="A8" s="9" t="s">
        <v>87</v>
      </c>
      <c r="B8" s="36" t="s">
        <v>75</v>
      </c>
      <c r="D8" s="3" t="s">
        <v>76</v>
      </c>
      <c r="G8" s="5"/>
      <c r="I8" s="8"/>
    </row>
    <row r="9" spans="1:13" ht="19.5" thickBot="1" x14ac:dyDescent="0.3">
      <c r="B9" s="3">
        <v>1</v>
      </c>
      <c r="C9" s="3" t="s">
        <v>88</v>
      </c>
      <c r="D9" s="3">
        <f>B9*10</f>
        <v>10</v>
      </c>
      <c r="E9" s="3" t="s">
        <v>89</v>
      </c>
      <c r="F9" s="40">
        <f>D9/L6</f>
        <v>0.27397260273972601</v>
      </c>
      <c r="G9" s="36" t="s">
        <v>90</v>
      </c>
      <c r="H9" s="5" t="s">
        <v>91</v>
      </c>
      <c r="I9" s="40">
        <f>F9</f>
        <v>0.27397260273972601</v>
      </c>
      <c r="J9" s="41" t="s">
        <v>72</v>
      </c>
      <c r="K9" s="42">
        <f>-LOG10(I9)</f>
        <v>0.56229286445647475</v>
      </c>
    </row>
    <row r="10" spans="1:13" x14ac:dyDescent="0.25">
      <c r="G10" s="5"/>
      <c r="I10" s="8"/>
    </row>
    <row r="11" spans="1:13" ht="16.5" thickBot="1" x14ac:dyDescent="0.3">
      <c r="A11" s="9" t="s">
        <v>92</v>
      </c>
      <c r="B11" s="3" t="s">
        <v>73</v>
      </c>
      <c r="I11" s="8"/>
    </row>
    <row r="12" spans="1:13" ht="19.5" thickBot="1" x14ac:dyDescent="0.3">
      <c r="B12" s="5" t="s">
        <v>71</v>
      </c>
      <c r="C12" s="3">
        <f>14-13</f>
        <v>1</v>
      </c>
      <c r="D12" s="5" t="s">
        <v>93</v>
      </c>
      <c r="E12" s="3">
        <f>POWER(10,-C12)</f>
        <v>0.1</v>
      </c>
      <c r="F12" s="5" t="s">
        <v>94</v>
      </c>
      <c r="G12" s="3">
        <f>E12</f>
        <v>0.1</v>
      </c>
      <c r="H12" s="4" t="s">
        <v>84</v>
      </c>
      <c r="I12" s="3">
        <f>G12/10</f>
        <v>0.01</v>
      </c>
      <c r="J12" s="3" t="s">
        <v>85</v>
      </c>
      <c r="K12" s="38">
        <f>I12*L13</f>
        <v>0.4</v>
      </c>
      <c r="L12" s="39" t="s">
        <v>95</v>
      </c>
    </row>
    <row r="13" spans="1:13" x14ac:dyDescent="0.25">
      <c r="G13" s="5"/>
      <c r="I13" s="8"/>
      <c r="K13" s="5" t="s">
        <v>40</v>
      </c>
      <c r="L13" s="3">
        <f>23+16+1</f>
        <v>40</v>
      </c>
      <c r="M13" s="3" t="s">
        <v>5</v>
      </c>
    </row>
    <row r="14" spans="1:13" ht="17.25" customHeight="1" x14ac:dyDescent="0.25">
      <c r="A14" s="9" t="s">
        <v>96</v>
      </c>
      <c r="B14" s="36" t="s">
        <v>77</v>
      </c>
      <c r="D14" s="3" t="s">
        <v>76</v>
      </c>
      <c r="G14" s="5"/>
      <c r="I14" s="8"/>
    </row>
    <row r="15" spans="1:13" ht="19.5" thickBot="1" x14ac:dyDescent="0.3">
      <c r="B15" s="3">
        <v>1</v>
      </c>
      <c r="C15" s="3" t="s">
        <v>88</v>
      </c>
      <c r="D15" s="3">
        <f>B15*10</f>
        <v>10</v>
      </c>
      <c r="E15" s="3" t="s">
        <v>97</v>
      </c>
      <c r="F15" s="3">
        <f>D15/L13</f>
        <v>0.25</v>
      </c>
      <c r="G15" s="5" t="s">
        <v>98</v>
      </c>
      <c r="H15" s="5" t="s">
        <v>99</v>
      </c>
      <c r="I15" s="43">
        <f>F15</f>
        <v>0.25</v>
      </c>
      <c r="J15" s="5" t="s">
        <v>71</v>
      </c>
      <c r="K15" s="44">
        <f>-LOG10(I15)</f>
        <v>0.6020599913279624</v>
      </c>
    </row>
    <row r="16" spans="1:13" ht="16.5" thickBot="1" x14ac:dyDescent="0.3">
      <c r="G16" s="5"/>
      <c r="I16" s="8"/>
      <c r="J16" s="45"/>
      <c r="K16" s="41" t="s">
        <v>100</v>
      </c>
      <c r="L16" s="42">
        <f>14-K15</f>
        <v>13.397940008672037</v>
      </c>
    </row>
    <row r="17" spans="1:12" ht="18.75" x14ac:dyDescent="0.25">
      <c r="A17" s="9" t="s">
        <v>23</v>
      </c>
      <c r="B17" s="3" t="s">
        <v>101</v>
      </c>
    </row>
    <row r="19" spans="1:12" ht="18.75" x14ac:dyDescent="0.25">
      <c r="B19" s="1" t="s">
        <v>14</v>
      </c>
      <c r="C19" s="1"/>
      <c r="D19" s="1"/>
      <c r="E19" s="1"/>
      <c r="F19" s="46" t="s">
        <v>102</v>
      </c>
      <c r="G19" s="47">
        <v>10000</v>
      </c>
      <c r="H19" s="1" t="s">
        <v>15</v>
      </c>
      <c r="I19" s="1"/>
    </row>
    <row r="20" spans="1:12" ht="18.75" x14ac:dyDescent="0.25">
      <c r="B20" s="46" t="s">
        <v>8</v>
      </c>
      <c r="C20" s="48" t="s">
        <v>103</v>
      </c>
      <c r="D20" s="49" t="s">
        <v>104</v>
      </c>
      <c r="E20" s="50">
        <f>POWER(10,-1)</f>
        <v>0.1</v>
      </c>
      <c r="F20" s="1" t="s">
        <v>13</v>
      </c>
      <c r="G20" s="51">
        <f>G19*E20</f>
        <v>1000</v>
      </c>
      <c r="H20" s="52" t="s">
        <v>105</v>
      </c>
      <c r="I20" s="1"/>
    </row>
    <row r="21" spans="1:12" ht="18.75" x14ac:dyDescent="0.25">
      <c r="B21" s="46" t="s">
        <v>9</v>
      </c>
      <c r="C21" s="48" t="s">
        <v>106</v>
      </c>
      <c r="D21" s="49" t="s">
        <v>104</v>
      </c>
      <c r="E21" s="50">
        <f>POWER(10,-6)</f>
        <v>9.9999999999999995E-7</v>
      </c>
      <c r="F21" s="1" t="s">
        <v>13</v>
      </c>
      <c r="G21" s="53">
        <f>G19*E21</f>
        <v>0.01</v>
      </c>
      <c r="H21" s="52" t="s">
        <v>105</v>
      </c>
      <c r="I21" s="1"/>
    </row>
    <row r="22" spans="1:12" ht="18.75" x14ac:dyDescent="0.25">
      <c r="B22" s="1"/>
      <c r="C22" s="1"/>
      <c r="D22" s="49"/>
      <c r="E22" s="1"/>
      <c r="F22" s="49" t="s">
        <v>16</v>
      </c>
      <c r="G22" s="53">
        <f>G20-G21</f>
        <v>999.99</v>
      </c>
      <c r="H22" s="52" t="s">
        <v>105</v>
      </c>
      <c r="I22" s="1" t="s">
        <v>17</v>
      </c>
      <c r="J22" s="51">
        <v>1000</v>
      </c>
      <c r="K22" s="52" t="s">
        <v>105</v>
      </c>
    </row>
    <row r="23" spans="1:12" ht="19.5" x14ac:dyDescent="0.3">
      <c r="B23" s="1" t="s">
        <v>107</v>
      </c>
      <c r="C23" s="1"/>
      <c r="D23" s="49"/>
      <c r="E23" s="1" t="s">
        <v>108</v>
      </c>
      <c r="F23" s="49"/>
      <c r="G23" s="54"/>
      <c r="H23" s="52"/>
      <c r="I23" s="49" t="s">
        <v>18</v>
      </c>
      <c r="J23" s="51">
        <v>1000</v>
      </c>
      <c r="K23" s="52" t="s">
        <v>19</v>
      </c>
    </row>
    <row r="24" spans="1:12" x14ac:dyDescent="0.25">
      <c r="B24" s="1"/>
      <c r="C24" s="1"/>
      <c r="D24" s="49"/>
      <c r="E24" s="1"/>
      <c r="F24" s="49"/>
      <c r="G24" s="1" t="s">
        <v>109</v>
      </c>
      <c r="H24" s="1">
        <f>1+35.5</f>
        <v>36.5</v>
      </c>
      <c r="I24" s="1" t="s">
        <v>5</v>
      </c>
      <c r="J24" s="51">
        <f>J23*H24</f>
        <v>36500</v>
      </c>
      <c r="K24" s="52" t="s">
        <v>20</v>
      </c>
    </row>
    <row r="25" spans="1:12" ht="19.5" thickBot="1" x14ac:dyDescent="0.3">
      <c r="B25" s="55" t="s">
        <v>110</v>
      </c>
      <c r="C25" s="56" t="s">
        <v>10</v>
      </c>
      <c r="D25" s="57">
        <v>370</v>
      </c>
      <c r="E25" s="58" t="s">
        <v>20</v>
      </c>
    </row>
    <row r="26" spans="1:12" ht="19.5" thickBot="1" x14ac:dyDescent="0.3">
      <c r="B26" s="59" t="s">
        <v>21</v>
      </c>
      <c r="C26" s="7"/>
      <c r="D26" s="60">
        <f>J24</f>
        <v>36500</v>
      </c>
      <c r="E26" s="61" t="s">
        <v>20</v>
      </c>
      <c r="F26" s="62" t="s">
        <v>22</v>
      </c>
      <c r="G26" s="63">
        <f>(1*D26)/D25</f>
        <v>98.648648648648646</v>
      </c>
      <c r="H26" s="64" t="s">
        <v>111</v>
      </c>
      <c r="I26" s="65"/>
    </row>
    <row r="27" spans="1:12" x14ac:dyDescent="0.25">
      <c r="B27" s="93"/>
      <c r="C27" s="94"/>
      <c r="D27" s="95"/>
      <c r="E27" s="93"/>
      <c r="F27" s="62"/>
      <c r="G27" s="96"/>
      <c r="H27" s="97"/>
      <c r="I27" s="98"/>
    </row>
    <row r="28" spans="1:12" x14ac:dyDescent="0.25">
      <c r="G28" s="5"/>
      <c r="I28" s="8"/>
    </row>
    <row r="29" spans="1:12" ht="18.75" x14ac:dyDescent="0.25">
      <c r="A29" s="9" t="s">
        <v>25</v>
      </c>
      <c r="B29" s="3" t="s">
        <v>112</v>
      </c>
    </row>
    <row r="30" spans="1:12" ht="16.5" thickBot="1" x14ac:dyDescent="0.3"/>
    <row r="31" spans="1:12" ht="19.5" thickBot="1" x14ac:dyDescent="0.3">
      <c r="A31" s="62" t="s">
        <v>39</v>
      </c>
      <c r="B31" s="10">
        <v>1</v>
      </c>
      <c r="C31" s="9" t="s">
        <v>113</v>
      </c>
      <c r="E31" s="49" t="s">
        <v>114</v>
      </c>
      <c r="F31" s="66">
        <f>SQRT(H2*B31)</f>
        <v>4.3151907682776464E-3</v>
      </c>
      <c r="G31" s="67" t="s">
        <v>4</v>
      </c>
      <c r="H31" s="68">
        <f>-LOG10(F31)</f>
        <v>2.3650000000000007</v>
      </c>
      <c r="I31" s="49" t="s">
        <v>115</v>
      </c>
      <c r="J31" s="69">
        <f>(-H2+SQRT(H2*H2+4*H2*B31))/2</f>
        <v>4.3058903766591697E-3</v>
      </c>
      <c r="K31" s="67" t="s">
        <v>4</v>
      </c>
      <c r="L31" s="68">
        <f>-LOG10(J31)</f>
        <v>2.365937031042499</v>
      </c>
    </row>
    <row r="32" spans="1:12" x14ac:dyDescent="0.25">
      <c r="A32" s="70" t="s">
        <v>116</v>
      </c>
      <c r="B32" s="70"/>
      <c r="J32" s="71" t="s">
        <v>11</v>
      </c>
    </row>
    <row r="33" spans="1:14" x14ac:dyDescent="0.25">
      <c r="A33" s="70" t="s">
        <v>117</v>
      </c>
      <c r="B33" s="70"/>
    </row>
    <row r="36" spans="1:14" ht="20.25" x14ac:dyDescent="0.35">
      <c r="A36" s="9" t="s">
        <v>26</v>
      </c>
      <c r="B36" s="3" t="s">
        <v>118</v>
      </c>
      <c r="H36" s="36" t="s">
        <v>6</v>
      </c>
    </row>
    <row r="37" spans="1:14" x14ac:dyDescent="0.25">
      <c r="H37" s="9"/>
      <c r="I37" s="9"/>
    </row>
    <row r="38" spans="1:14" x14ac:dyDescent="0.25">
      <c r="B38" s="5" t="s">
        <v>40</v>
      </c>
      <c r="C38" s="10">
        <f>2*12+4*1+2*16</f>
        <v>60</v>
      </c>
      <c r="D38" s="9" t="s">
        <v>41</v>
      </c>
      <c r="F38" s="3" t="s">
        <v>43</v>
      </c>
    </row>
    <row r="39" spans="1:14" ht="18.75" x14ac:dyDescent="0.25">
      <c r="D39" s="5" t="s">
        <v>119</v>
      </c>
      <c r="E39" s="10">
        <f>500*0.2+1000*0.1</f>
        <v>200</v>
      </c>
      <c r="F39" s="72" t="s">
        <v>42</v>
      </c>
      <c r="G39" s="3" t="s">
        <v>44</v>
      </c>
      <c r="H39" s="10">
        <f>E39/E40</f>
        <v>133.33333333333334</v>
      </c>
      <c r="I39" s="9" t="s">
        <v>120</v>
      </c>
      <c r="J39" s="36" t="s">
        <v>121</v>
      </c>
    </row>
    <row r="40" spans="1:14" ht="19.5" thickBot="1" x14ac:dyDescent="0.3">
      <c r="D40" s="5" t="s">
        <v>122</v>
      </c>
      <c r="E40" s="10">
        <f>0.5+1</f>
        <v>1.5</v>
      </c>
      <c r="F40" s="9" t="s">
        <v>123</v>
      </c>
      <c r="G40" s="49" t="s">
        <v>7</v>
      </c>
      <c r="H40" s="73">
        <f>H39/C38</f>
        <v>2.2222222222222223</v>
      </c>
      <c r="I40" s="9" t="s">
        <v>124</v>
      </c>
      <c r="K40" s="49" t="s">
        <v>125</v>
      </c>
      <c r="L40" s="66">
        <f>SQRT(H2*H40)</f>
        <v>6.4327065958322402E-3</v>
      </c>
    </row>
    <row r="41" spans="1:14" ht="16.5" thickBot="1" x14ac:dyDescent="0.3">
      <c r="E41" s="3">
        <v>1.5</v>
      </c>
      <c r="F41" s="3" t="s">
        <v>12</v>
      </c>
      <c r="K41" s="74" t="s">
        <v>4</v>
      </c>
      <c r="L41" s="68">
        <f>-LOG10(L40)</f>
        <v>2.1916062568876726</v>
      </c>
    </row>
    <row r="43" spans="1:14" x14ac:dyDescent="0.25">
      <c r="A43" s="9" t="s">
        <v>126</v>
      </c>
      <c r="B43" s="3" t="s">
        <v>127</v>
      </c>
    </row>
    <row r="44" spans="1:14" ht="20.25" x14ac:dyDescent="0.35">
      <c r="A44" s="9"/>
      <c r="B44" s="5" t="s">
        <v>40</v>
      </c>
      <c r="C44" s="4">
        <f>2*23+12+3*16</f>
        <v>106</v>
      </c>
      <c r="D44" s="3">
        <v>1</v>
      </c>
      <c r="E44" s="3" t="s">
        <v>128</v>
      </c>
      <c r="F44" s="3">
        <f>D44*10</f>
        <v>10</v>
      </c>
      <c r="G44" s="36" t="s">
        <v>129</v>
      </c>
      <c r="H44" s="75">
        <f>F44/C44</f>
        <v>9.4339622641509441E-2</v>
      </c>
      <c r="I44" s="3" t="s">
        <v>84</v>
      </c>
      <c r="J44" s="3" t="s">
        <v>130</v>
      </c>
      <c r="K44" s="3" t="s">
        <v>131</v>
      </c>
    </row>
    <row r="45" spans="1:14" x14ac:dyDescent="0.25">
      <c r="A45" s="9"/>
    </row>
    <row r="46" spans="1:14" ht="18.75" x14ac:dyDescent="0.35">
      <c r="B46" s="11" t="s">
        <v>132</v>
      </c>
      <c r="C46" s="11"/>
      <c r="D46" s="11"/>
      <c r="F46" s="5" t="s">
        <v>133</v>
      </c>
      <c r="G46" s="8">
        <v>1E-14</v>
      </c>
      <c r="H46" s="76" t="s">
        <v>134</v>
      </c>
      <c r="I46" s="76"/>
      <c r="J46" s="76"/>
      <c r="K46" s="76"/>
      <c r="L46" s="76"/>
      <c r="M46" s="76"/>
      <c r="N46" s="87"/>
    </row>
    <row r="47" spans="1:14" ht="18.75" x14ac:dyDescent="0.35">
      <c r="B47" s="11" t="s">
        <v>135</v>
      </c>
      <c r="C47" s="11"/>
      <c r="D47" s="11"/>
      <c r="F47" s="77" t="s">
        <v>136</v>
      </c>
      <c r="G47" s="78">
        <v>4.6999999999999999E-11</v>
      </c>
      <c r="H47" s="76" t="s">
        <v>137</v>
      </c>
      <c r="I47" s="76"/>
      <c r="J47" s="76"/>
      <c r="K47" s="76"/>
      <c r="L47" s="76"/>
      <c r="M47" s="76"/>
      <c r="N47" s="87"/>
    </row>
    <row r="48" spans="1:14" x14ac:dyDescent="0.25">
      <c r="J48" s="76"/>
      <c r="K48" s="76"/>
      <c r="L48" s="76"/>
      <c r="M48" s="76"/>
      <c r="N48" s="87"/>
    </row>
    <row r="49" spans="2:14" ht="18.75" x14ac:dyDescent="0.25">
      <c r="B49" s="11" t="s">
        <v>138</v>
      </c>
      <c r="C49" s="11"/>
      <c r="D49" s="11"/>
      <c r="E49" s="11"/>
      <c r="F49" s="11"/>
      <c r="G49" s="11"/>
      <c r="J49" s="76"/>
      <c r="K49" s="76"/>
      <c r="L49" s="76"/>
      <c r="M49" s="76"/>
      <c r="N49" s="87"/>
    </row>
    <row r="50" spans="2:14" x14ac:dyDescent="0.25">
      <c r="J50" s="76"/>
      <c r="K50" s="76"/>
      <c r="L50" s="76"/>
      <c r="M50" s="76"/>
      <c r="N50" s="87"/>
    </row>
    <row r="52" spans="2:14" x14ac:dyDescent="0.25">
      <c r="J52" s="79">
        <f>G46/G47</f>
        <v>2.1276595744680851E-4</v>
      </c>
    </row>
    <row r="55" spans="2:14" ht="20.25" x14ac:dyDescent="0.35">
      <c r="B55" s="3" t="s">
        <v>139</v>
      </c>
      <c r="G55" s="8">
        <f>J52</f>
        <v>2.1276595744680851E-4</v>
      </c>
      <c r="I55" s="3" t="s">
        <v>140</v>
      </c>
      <c r="L55" s="80">
        <f>SQRT(J52*H44)</f>
        <v>4.4802075997091217E-3</v>
      </c>
    </row>
    <row r="56" spans="2:14" ht="16.5" thickBot="1" x14ac:dyDescent="0.3"/>
    <row r="57" spans="2:14" ht="16.5" thickBot="1" x14ac:dyDescent="0.3">
      <c r="I57" s="5" t="s">
        <v>71</v>
      </c>
      <c r="J57" s="81">
        <f>-LOG10(L55)</f>
        <v>2.3487018616002437</v>
      </c>
      <c r="K57" s="41" t="s">
        <v>72</v>
      </c>
      <c r="L57" s="82">
        <f>14-J57</f>
        <v>11.651298138399756</v>
      </c>
    </row>
    <row r="58" spans="2:14" x14ac:dyDescent="0.25">
      <c r="E58" s="83"/>
      <c r="K58" s="40"/>
    </row>
  </sheetData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DE60-34DF-4413-8602-EFA1999C9C9C}">
  <dimension ref="A1:K15"/>
  <sheetViews>
    <sheetView workbookViewId="0">
      <selection activeCell="D18" sqref="D18"/>
    </sheetView>
  </sheetViews>
  <sheetFormatPr defaultRowHeight="15.75" x14ac:dyDescent="0.25"/>
  <cols>
    <col min="1" max="6" width="9.140625" style="3"/>
    <col min="7" max="7" width="11.28515625" style="3" bestFit="1" customWidth="1"/>
    <col min="8" max="8" width="9.140625" style="3"/>
    <col min="9" max="9" width="10.140625" style="3" bestFit="1" customWidth="1"/>
    <col min="10" max="10" width="10.5703125" style="3" customWidth="1"/>
    <col min="11" max="11" width="8" style="3" customWidth="1"/>
    <col min="12" max="16384" width="9.140625" style="3"/>
  </cols>
  <sheetData>
    <row r="1" spans="1:11" x14ac:dyDescent="0.25">
      <c r="A1" s="3" t="s">
        <v>156</v>
      </c>
      <c r="B1" s="3" t="s">
        <v>157</v>
      </c>
    </row>
    <row r="3" spans="1:11" x14ac:dyDescent="0.25">
      <c r="A3" s="4" t="s">
        <v>24</v>
      </c>
      <c r="B3" s="3" t="s">
        <v>143</v>
      </c>
    </row>
    <row r="4" spans="1:11" x14ac:dyDescent="0.25">
      <c r="A4" s="4"/>
    </row>
    <row r="5" spans="1:11" x14ac:dyDescent="0.25">
      <c r="A5" s="4"/>
    </row>
    <row r="6" spans="1:11" ht="18.75" x14ac:dyDescent="0.25">
      <c r="A6" s="4" t="s">
        <v>23</v>
      </c>
      <c r="B6" s="3" t="s">
        <v>145</v>
      </c>
    </row>
    <row r="7" spans="1:11" ht="20.25" x14ac:dyDescent="0.35">
      <c r="A7" s="4"/>
      <c r="B7" s="3" t="s">
        <v>52</v>
      </c>
      <c r="F7" s="3" t="s">
        <v>51</v>
      </c>
      <c r="G7" s="3">
        <v>24</v>
      </c>
      <c r="H7" s="3" t="s">
        <v>50</v>
      </c>
      <c r="I7" s="5" t="s">
        <v>49</v>
      </c>
      <c r="J7" s="8">
        <f>0.000018</f>
        <v>1.8E-5</v>
      </c>
    </row>
    <row r="8" spans="1:11" x14ac:dyDescent="0.25">
      <c r="A8" s="4"/>
    </row>
    <row r="9" spans="1:11" x14ac:dyDescent="0.25">
      <c r="A9" s="4"/>
    </row>
    <row r="10" spans="1:11" ht="18.75" x14ac:dyDescent="0.25">
      <c r="A10" s="4" t="s">
        <v>25</v>
      </c>
      <c r="B10" s="3" t="s">
        <v>146</v>
      </c>
      <c r="G10" s="3" t="s">
        <v>27</v>
      </c>
    </row>
    <row r="11" spans="1:11" x14ac:dyDescent="0.25">
      <c r="B11" s="3" t="s">
        <v>147</v>
      </c>
    </row>
    <row r="14" spans="1:11" ht="18.75" x14ac:dyDescent="0.35">
      <c r="A14" s="30" t="s">
        <v>26</v>
      </c>
      <c r="B14" s="3" t="s">
        <v>154</v>
      </c>
      <c r="F14" s="85" t="s">
        <v>136</v>
      </c>
      <c r="G14" s="86">
        <v>4.6999999999999999E-11</v>
      </c>
      <c r="H14" s="87" t="s">
        <v>137</v>
      </c>
      <c r="I14" s="87"/>
      <c r="J14" s="87"/>
      <c r="K14" s="3" t="s">
        <v>152</v>
      </c>
    </row>
    <row r="15" spans="1:11" x14ac:dyDescent="0.25">
      <c r="A15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C2B9-195E-4D05-825F-9DE56230CAAC}">
  <dimension ref="A1:Q44"/>
  <sheetViews>
    <sheetView zoomScale="140" zoomScaleNormal="140" workbookViewId="0">
      <selection activeCell="A9" sqref="A9:M17"/>
    </sheetView>
  </sheetViews>
  <sheetFormatPr defaultRowHeight="15.75" x14ac:dyDescent="0.25"/>
  <cols>
    <col min="1" max="6" width="9.140625" style="3"/>
    <col min="7" max="7" width="11.28515625" style="3" bestFit="1" customWidth="1"/>
    <col min="8" max="8" width="9.140625" style="3"/>
    <col min="9" max="9" width="10.140625" style="3" bestFit="1" customWidth="1"/>
    <col min="10" max="10" width="10.5703125" style="3" customWidth="1"/>
    <col min="11" max="11" width="8" style="3" customWidth="1"/>
    <col min="12" max="16384" width="9.140625" style="3"/>
  </cols>
  <sheetData>
    <row r="1" spans="1:14" x14ac:dyDescent="0.25">
      <c r="A1" s="3" t="s">
        <v>155</v>
      </c>
    </row>
    <row r="3" spans="1:14" x14ac:dyDescent="0.25">
      <c r="A3" s="4" t="s">
        <v>24</v>
      </c>
      <c r="B3" s="3" t="s">
        <v>143</v>
      </c>
    </row>
    <row r="4" spans="1:14" x14ac:dyDescent="0.25">
      <c r="A4" s="4"/>
    </row>
    <row r="5" spans="1:14" ht="18.75" x14ac:dyDescent="0.25">
      <c r="A5" s="4"/>
      <c r="B5" s="3" t="s">
        <v>29</v>
      </c>
      <c r="C5" s="10">
        <v>12</v>
      </c>
      <c r="E5" s="3" t="s">
        <v>141</v>
      </c>
    </row>
    <row r="6" spans="1:14" ht="16.5" customHeight="1" thickBot="1" x14ac:dyDescent="0.3">
      <c r="A6" s="4"/>
      <c r="B6" s="3" t="s">
        <v>30</v>
      </c>
      <c r="C6" s="10">
        <f>14-C5</f>
        <v>2</v>
      </c>
      <c r="H6" s="5" t="s">
        <v>144</v>
      </c>
      <c r="I6" s="10">
        <f>39+16+1</f>
        <v>56</v>
      </c>
      <c r="J6" s="9" t="s">
        <v>5</v>
      </c>
      <c r="M6" s="84">
        <f>I7/10</f>
        <v>5.6000000000000008E-2</v>
      </c>
      <c r="N6" s="13" t="s">
        <v>48</v>
      </c>
    </row>
    <row r="7" spans="1:14" ht="16.5" customHeight="1" thickBot="1" x14ac:dyDescent="0.3">
      <c r="A7" s="4"/>
      <c r="B7" s="3" t="s">
        <v>31</v>
      </c>
      <c r="C7" s="84">
        <f>POWER(10,-C6)</f>
        <v>0.01</v>
      </c>
      <c r="D7" s="13" t="s">
        <v>45</v>
      </c>
      <c r="F7" s="5" t="s">
        <v>142</v>
      </c>
      <c r="G7" s="84">
        <f>C7</f>
        <v>0.01</v>
      </c>
      <c r="H7" s="13" t="s">
        <v>45</v>
      </c>
      <c r="I7" s="10">
        <f>G7*I6</f>
        <v>0.56000000000000005</v>
      </c>
      <c r="J7" s="12" t="s">
        <v>46</v>
      </c>
      <c r="K7" s="13" t="s">
        <v>47</v>
      </c>
      <c r="M7" s="15">
        <f>M6</f>
        <v>5.6000000000000008E-2</v>
      </c>
      <c r="N7" s="14" t="s">
        <v>28</v>
      </c>
    </row>
    <row r="8" spans="1:14" x14ac:dyDescent="0.25">
      <c r="A8" s="4"/>
    </row>
    <row r="9" spans="1:14" ht="18.75" x14ac:dyDescent="0.25">
      <c r="A9" s="4" t="s">
        <v>23</v>
      </c>
      <c r="B9" s="3" t="s">
        <v>158</v>
      </c>
    </row>
    <row r="10" spans="1:14" ht="20.25" x14ac:dyDescent="0.35">
      <c r="A10" s="4"/>
      <c r="B10" s="3" t="s">
        <v>52</v>
      </c>
      <c r="F10" s="3" t="s">
        <v>51</v>
      </c>
      <c r="G10" s="3">
        <v>24</v>
      </c>
      <c r="H10" s="3" t="s">
        <v>50</v>
      </c>
      <c r="I10" s="5" t="s">
        <v>49</v>
      </c>
      <c r="J10" s="8">
        <f>0.000018</f>
        <v>1.8E-5</v>
      </c>
    </row>
    <row r="11" spans="1:14" x14ac:dyDescent="0.25">
      <c r="A11" s="4"/>
    </row>
    <row r="12" spans="1:14" ht="19.5" x14ac:dyDescent="0.3">
      <c r="A12" s="4"/>
      <c r="B12" s="10" t="s">
        <v>58</v>
      </c>
      <c r="C12" s="10"/>
      <c r="D12" s="10"/>
      <c r="E12" s="10" t="s">
        <v>59</v>
      </c>
      <c r="F12" s="10"/>
      <c r="G12" s="10"/>
    </row>
    <row r="13" spans="1:14" ht="19.5" x14ac:dyDescent="0.3">
      <c r="A13" s="4"/>
      <c r="B13" s="10">
        <f>1/24</f>
        <v>4.1666666666666664E-2</v>
      </c>
      <c r="C13" s="9" t="s">
        <v>53</v>
      </c>
      <c r="D13" s="10">
        <f>B13</f>
        <v>4.1666666666666664E-2</v>
      </c>
      <c r="E13" s="9" t="s">
        <v>57</v>
      </c>
      <c r="F13" s="9"/>
      <c r="G13" s="10">
        <v>0.2</v>
      </c>
      <c r="H13" s="19" t="s">
        <v>56</v>
      </c>
      <c r="I13" s="19"/>
    </row>
    <row r="14" spans="1:14" ht="18.75" x14ac:dyDescent="0.25">
      <c r="A14" s="4"/>
      <c r="B14" s="10">
        <f>B13/G13</f>
        <v>0.20833333333333331</v>
      </c>
      <c r="C14" s="9" t="s">
        <v>45</v>
      </c>
      <c r="D14" s="9"/>
      <c r="E14" s="9" t="s">
        <v>32</v>
      </c>
      <c r="I14" s="3" t="s">
        <v>33</v>
      </c>
      <c r="J14" s="3" t="s">
        <v>21</v>
      </c>
    </row>
    <row r="15" spans="1:14" ht="20.25" x14ac:dyDescent="0.35">
      <c r="A15" s="4"/>
      <c r="B15" s="10">
        <f>SQRT(J10*B14)</f>
        <v>1.9364916731037084E-3</v>
      </c>
      <c r="C15" s="9" t="s">
        <v>45</v>
      </c>
      <c r="D15" s="9"/>
      <c r="E15" s="9" t="s">
        <v>61</v>
      </c>
      <c r="I15" s="7" t="s">
        <v>55</v>
      </c>
      <c r="J15" s="7"/>
      <c r="K15" s="3" t="s">
        <v>54</v>
      </c>
    </row>
    <row r="16" spans="1:14" ht="16.5" thickBot="1" x14ac:dyDescent="0.3">
      <c r="A16" s="4"/>
      <c r="B16" s="10">
        <f>-LOG10(B15)</f>
        <v>2.7129843661361406</v>
      </c>
      <c r="C16" s="9"/>
      <c r="D16" s="9"/>
      <c r="E16" s="9" t="s">
        <v>34</v>
      </c>
      <c r="I16" s="3" t="s">
        <v>32</v>
      </c>
    </row>
    <row r="17" spans="1:17" ht="16.5" thickBot="1" x14ac:dyDescent="0.3">
      <c r="A17" s="4"/>
      <c r="B17" s="20">
        <f>14-B16</f>
        <v>11.287015633863859</v>
      </c>
      <c r="C17" s="18"/>
      <c r="D17" s="18"/>
      <c r="E17" s="14" t="s">
        <v>35</v>
      </c>
    </row>
    <row r="18" spans="1:17" x14ac:dyDescent="0.25">
      <c r="A18" s="4"/>
    </row>
    <row r="19" spans="1:17" ht="18.75" x14ac:dyDescent="0.25">
      <c r="A19" s="4" t="s">
        <v>25</v>
      </c>
      <c r="B19" s="3" t="s">
        <v>146</v>
      </c>
      <c r="G19" s="3" t="s">
        <v>27</v>
      </c>
    </row>
    <row r="20" spans="1:17" x14ac:dyDescent="0.25">
      <c r="B20" s="3" t="s">
        <v>147</v>
      </c>
    </row>
    <row r="22" spans="1:17" ht="19.5" x14ac:dyDescent="0.3">
      <c r="B22" s="16" t="s">
        <v>148</v>
      </c>
      <c r="C22" s="17"/>
      <c r="D22" s="10"/>
      <c r="E22" s="10"/>
      <c r="G22" s="5" t="s">
        <v>70</v>
      </c>
      <c r="H22" s="5" t="s">
        <v>37</v>
      </c>
      <c r="I22" s="5" t="s">
        <v>38</v>
      </c>
      <c r="J22" s="3" t="s">
        <v>69</v>
      </c>
    </row>
    <row r="23" spans="1:17" ht="18.75" x14ac:dyDescent="0.25">
      <c r="H23" s="10">
        <f>POWER(10,-7)</f>
        <v>9.9999999999999995E-8</v>
      </c>
      <c r="I23" s="10">
        <f>POWER(10,-2)</f>
        <v>0.01</v>
      </c>
      <c r="J23" s="30" t="s">
        <v>60</v>
      </c>
      <c r="K23" s="9" t="s">
        <v>45</v>
      </c>
    </row>
    <row r="24" spans="1:17" ht="18.75" x14ac:dyDescent="0.25">
      <c r="B24" s="10">
        <v>50000</v>
      </c>
      <c r="C24" s="9" t="s">
        <v>149</v>
      </c>
      <c r="D24" s="9"/>
      <c r="E24" s="9">
        <v>37</v>
      </c>
      <c r="F24" s="9" t="s">
        <v>150</v>
      </c>
      <c r="G24" s="9"/>
      <c r="I24" s="31">
        <f>(I23-H23)*1000</f>
        <v>9.9999000000000002</v>
      </c>
      <c r="J24" s="30" t="s">
        <v>60</v>
      </c>
      <c r="K24" s="9" t="s">
        <v>68</v>
      </c>
    </row>
    <row r="25" spans="1:17" ht="18.75" x14ac:dyDescent="0.25">
      <c r="B25" s="10">
        <f>B24*E24/100</f>
        <v>18500</v>
      </c>
      <c r="C25" s="9" t="s">
        <v>151</v>
      </c>
      <c r="E25" s="5" t="s">
        <v>40</v>
      </c>
      <c r="F25" s="3">
        <f>1+35.5</f>
        <v>36.5</v>
      </c>
      <c r="H25" s="21">
        <v>1</v>
      </c>
      <c r="I25" s="22" t="s">
        <v>65</v>
      </c>
      <c r="J25" s="22"/>
      <c r="K25" s="32">
        <f>I24</f>
        <v>9.9999000000000002</v>
      </c>
      <c r="L25" s="22" t="s">
        <v>63</v>
      </c>
      <c r="M25" s="88"/>
      <c r="N25" s="22"/>
      <c r="O25" s="23"/>
      <c r="P25" s="27"/>
      <c r="Q25" s="27"/>
    </row>
    <row r="26" spans="1:17" ht="19.5" thickBot="1" x14ac:dyDescent="0.3">
      <c r="B26" s="16">
        <f>B25/F25</f>
        <v>506.84931506849313</v>
      </c>
      <c r="C26" s="33" t="s">
        <v>161</v>
      </c>
      <c r="D26" s="6"/>
      <c r="E26" s="6" t="s">
        <v>36</v>
      </c>
      <c r="F26" s="34">
        <f>B26</f>
        <v>506.84931506849313</v>
      </c>
      <c r="G26" s="35" t="s">
        <v>62</v>
      </c>
      <c r="H26" s="26" t="s">
        <v>21</v>
      </c>
      <c r="I26" s="27" t="s">
        <v>64</v>
      </c>
      <c r="J26" s="27"/>
      <c r="K26" s="25">
        <f>F26</f>
        <v>506.84931506849313</v>
      </c>
      <c r="L26" s="24" t="s">
        <v>160</v>
      </c>
      <c r="M26" s="89"/>
      <c r="N26" s="27"/>
      <c r="O26" s="90"/>
      <c r="P26" s="27"/>
      <c r="Q26" s="27"/>
    </row>
    <row r="27" spans="1:17" ht="19.5" thickBot="1" x14ac:dyDescent="0.3">
      <c r="H27" s="28" t="s">
        <v>67</v>
      </c>
      <c r="I27" s="29">
        <f>H25*K26/K25</f>
        <v>50.685438361232926</v>
      </c>
      <c r="J27" s="14" t="s">
        <v>66</v>
      </c>
      <c r="M27" s="91" t="s">
        <v>159</v>
      </c>
      <c r="N27" s="7"/>
      <c r="O27" s="92"/>
    </row>
    <row r="29" spans="1:17" ht="18.75" x14ac:dyDescent="0.35">
      <c r="A29" s="30" t="s">
        <v>26</v>
      </c>
      <c r="B29" s="3" t="s">
        <v>154</v>
      </c>
      <c r="F29" s="85" t="s">
        <v>136</v>
      </c>
      <c r="G29" s="86">
        <v>4.6999999999999999E-11</v>
      </c>
      <c r="H29" s="87" t="s">
        <v>137</v>
      </c>
      <c r="I29" s="87"/>
      <c r="J29" s="87"/>
      <c r="K29" s="3" t="s">
        <v>152</v>
      </c>
    </row>
    <row r="30" spans="1:17" x14ac:dyDescent="0.25">
      <c r="A30" s="9"/>
    </row>
    <row r="31" spans="1:17" ht="20.25" x14ac:dyDescent="0.35">
      <c r="A31" s="9"/>
      <c r="B31" s="5" t="s">
        <v>40</v>
      </c>
      <c r="C31" s="4">
        <f>2*39+12+3*16</f>
        <v>138</v>
      </c>
      <c r="D31" s="3">
        <v>5</v>
      </c>
      <c r="E31" s="3" t="s">
        <v>128</v>
      </c>
      <c r="F31" s="3">
        <f>D31*10</f>
        <v>50</v>
      </c>
      <c r="G31" s="36" t="s">
        <v>129</v>
      </c>
      <c r="H31" s="75">
        <f>F31/C31</f>
        <v>0.36231884057971014</v>
      </c>
      <c r="I31" s="3" t="s">
        <v>84</v>
      </c>
      <c r="J31" s="3" t="s">
        <v>130</v>
      </c>
      <c r="K31" s="3" t="s">
        <v>131</v>
      </c>
    </row>
    <row r="32" spans="1:17" x14ac:dyDescent="0.25">
      <c r="A32" s="9"/>
    </row>
    <row r="33" spans="2:14" ht="18.75" x14ac:dyDescent="0.35">
      <c r="B33" s="11" t="s">
        <v>132</v>
      </c>
      <c r="C33" s="11"/>
      <c r="D33" s="11"/>
      <c r="F33" s="5" t="s">
        <v>133</v>
      </c>
      <c r="G33" s="8">
        <v>1E-14</v>
      </c>
      <c r="H33" s="76" t="s">
        <v>134</v>
      </c>
      <c r="I33" s="76"/>
      <c r="J33" s="76"/>
      <c r="K33" s="76"/>
      <c r="L33" s="76"/>
      <c r="M33" s="76"/>
      <c r="N33" s="76"/>
    </row>
    <row r="34" spans="2:14" ht="18.75" x14ac:dyDescent="0.35">
      <c r="B34" s="11" t="s">
        <v>135</v>
      </c>
      <c r="C34" s="11"/>
      <c r="D34" s="11"/>
      <c r="F34" s="77" t="s">
        <v>136</v>
      </c>
      <c r="G34" s="78">
        <f>G29</f>
        <v>4.6999999999999999E-11</v>
      </c>
      <c r="H34" s="76" t="s">
        <v>137</v>
      </c>
      <c r="I34" s="76"/>
      <c r="J34" s="76"/>
      <c r="K34" s="76"/>
      <c r="L34" s="76"/>
      <c r="M34" s="76"/>
      <c r="N34" s="76"/>
    </row>
    <row r="35" spans="2:14" x14ac:dyDescent="0.25">
      <c r="J35" s="76"/>
      <c r="K35" s="76"/>
      <c r="L35" s="76"/>
      <c r="M35" s="76"/>
      <c r="N35" s="76"/>
    </row>
    <row r="36" spans="2:14" ht="18.75" x14ac:dyDescent="0.25">
      <c r="B36" s="11" t="s">
        <v>153</v>
      </c>
      <c r="C36" s="11"/>
      <c r="D36" s="11"/>
      <c r="E36" s="11"/>
      <c r="F36" s="11"/>
      <c r="G36" s="11"/>
      <c r="J36" s="76"/>
      <c r="K36" s="76"/>
      <c r="L36" s="76"/>
      <c r="M36" s="76"/>
      <c r="N36" s="76"/>
    </row>
    <row r="37" spans="2:14" x14ac:dyDescent="0.25">
      <c r="J37" s="76"/>
      <c r="K37" s="76"/>
      <c r="L37" s="76"/>
      <c r="M37" s="76"/>
      <c r="N37" s="76"/>
    </row>
    <row r="39" spans="2:14" x14ac:dyDescent="0.25">
      <c r="J39" s="79">
        <f>G33/G34</f>
        <v>2.1276595744680851E-4</v>
      </c>
    </row>
    <row r="40" spans="2:14" x14ac:dyDescent="0.25">
      <c r="J40" s="3">
        <f>POWER(4.05,-3)</f>
        <v>1.5053411385271368E-2</v>
      </c>
    </row>
    <row r="42" spans="2:14" ht="20.25" x14ac:dyDescent="0.35">
      <c r="B42" s="3" t="s">
        <v>139</v>
      </c>
      <c r="G42" s="8">
        <f>J39</f>
        <v>2.1276595744680851E-4</v>
      </c>
      <c r="I42" s="3" t="s">
        <v>140</v>
      </c>
      <c r="L42" s="80">
        <f>SQRT(J40*H31)</f>
        <v>7.3852112765180458E-2</v>
      </c>
    </row>
    <row r="43" spans="2:14" ht="16.5" thickBot="1" x14ac:dyDescent="0.3"/>
    <row r="44" spans="2:14" ht="16.5" thickBot="1" x14ac:dyDescent="0.3">
      <c r="I44" s="5" t="s">
        <v>71</v>
      </c>
      <c r="J44" s="81">
        <f>-LOG10(L42)</f>
        <v>1.1316370758546117</v>
      </c>
      <c r="K44" s="41" t="s">
        <v>72</v>
      </c>
      <c r="L44" s="82">
        <f>14-J44</f>
        <v>12.868362924145389</v>
      </c>
    </row>
  </sheetData>
  <phoneticPr fontId="10" type="noConversion"/>
  <pageMargins left="0.25" right="0.25" top="0.75" bottom="0.75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E5A7-DE03-4FF7-B7E1-C689F60832BF}">
  <dimension ref="A2:Q41"/>
  <sheetViews>
    <sheetView tabSelected="1" zoomScale="120" zoomScaleNormal="120" workbookViewId="0">
      <selection activeCell="M41" sqref="M41"/>
    </sheetView>
  </sheetViews>
  <sheetFormatPr defaultRowHeight="15" x14ac:dyDescent="0.25"/>
  <cols>
    <col min="6" max="6" width="10.28515625" customWidth="1"/>
    <col min="9" max="9" width="12.42578125" customWidth="1"/>
    <col min="10" max="10" width="10.42578125" customWidth="1"/>
    <col min="11" max="11" width="9.85546875" bestFit="1" customWidth="1"/>
    <col min="12" max="12" width="10.140625" customWidth="1"/>
  </cols>
  <sheetData>
    <row r="2" spans="1:14" ht="15.75" x14ac:dyDescent="0.25">
      <c r="A2" s="4" t="s">
        <v>24</v>
      </c>
      <c r="B2" s="3" t="s">
        <v>172</v>
      </c>
      <c r="C2" s="3"/>
      <c r="D2" s="3"/>
      <c r="E2" s="3"/>
      <c r="F2" s="3"/>
      <c r="G2" s="3"/>
      <c r="H2" s="3"/>
      <c r="I2" s="3"/>
      <c r="J2" s="3"/>
      <c r="K2" s="3"/>
    </row>
    <row r="3" spans="1:14" ht="18.75" x14ac:dyDescent="0.35">
      <c r="B3" s="85" t="s">
        <v>136</v>
      </c>
      <c r="C3" s="86">
        <v>4.6999999999999999E-11</v>
      </c>
      <c r="D3" s="87" t="s">
        <v>137</v>
      </c>
      <c r="E3" s="87"/>
      <c r="F3" s="87"/>
      <c r="H3" s="5" t="s">
        <v>133</v>
      </c>
      <c r="I3" s="8">
        <v>1E-14</v>
      </c>
    </row>
    <row r="5" spans="1:14" ht="18.75" x14ac:dyDescent="0.35">
      <c r="A5" s="3"/>
      <c r="B5" s="11" t="s">
        <v>135</v>
      </c>
      <c r="C5" s="11"/>
      <c r="D5" s="11"/>
      <c r="E5" s="3"/>
      <c r="F5" s="85"/>
      <c r="G5" s="5"/>
      <c r="H5" s="5"/>
      <c r="I5" s="3" t="s">
        <v>175</v>
      </c>
      <c r="J5">
        <f>2*39+12+3*16</f>
        <v>138</v>
      </c>
    </row>
    <row r="6" spans="1:14" ht="15.75" x14ac:dyDescent="0.25">
      <c r="A6" s="3"/>
      <c r="B6" s="3"/>
      <c r="C6" s="3"/>
      <c r="D6" s="3"/>
      <c r="E6" s="3"/>
      <c r="F6" s="3"/>
      <c r="G6" s="3"/>
      <c r="H6" s="3"/>
      <c r="I6" s="5" t="s">
        <v>38</v>
      </c>
      <c r="J6" s="3" t="s">
        <v>69</v>
      </c>
    </row>
    <row r="7" spans="1:14" ht="18.75" x14ac:dyDescent="0.25">
      <c r="A7" s="3"/>
      <c r="B7" s="11" t="s">
        <v>153</v>
      </c>
      <c r="C7" s="11"/>
      <c r="D7" s="11"/>
      <c r="E7" s="11"/>
      <c r="F7" s="11"/>
      <c r="G7" s="11"/>
      <c r="H7" s="3"/>
      <c r="I7" s="3"/>
      <c r="J7" s="87"/>
    </row>
    <row r="8" spans="1:14" ht="15.75" x14ac:dyDescent="0.25">
      <c r="A8" s="3"/>
      <c r="B8" s="3"/>
      <c r="C8" s="3"/>
      <c r="D8" s="3"/>
      <c r="E8" s="3"/>
      <c r="F8" s="3"/>
      <c r="G8" s="3"/>
      <c r="H8" s="3"/>
      <c r="I8" s="3"/>
      <c r="J8" s="87"/>
    </row>
    <row r="9" spans="1:14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79">
        <f>I3/C3</f>
        <v>2.1276595744680851E-4</v>
      </c>
    </row>
    <row r="11" spans="1:1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4" ht="15.75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0.25" x14ac:dyDescent="0.35">
      <c r="B13" s="3" t="s">
        <v>173</v>
      </c>
      <c r="C13" s="3"/>
      <c r="D13" s="10">
        <f>POWER(10,-2)</f>
        <v>0.01</v>
      </c>
      <c r="E13" s="3"/>
      <c r="F13" s="3"/>
      <c r="G13" s="8">
        <f>J10</f>
        <v>2.1276595744680851E-4</v>
      </c>
      <c r="H13" s="3"/>
      <c r="I13" s="3" t="s">
        <v>174</v>
      </c>
      <c r="J13" s="3"/>
      <c r="K13" s="8">
        <f>D13*D13/G13</f>
        <v>0.47000000000000003</v>
      </c>
      <c r="L13" s="80" t="s">
        <v>176</v>
      </c>
    </row>
    <row r="14" spans="1:14" ht="15.75" x14ac:dyDescent="0.25">
      <c r="B14" s="3"/>
      <c r="C14" s="3"/>
      <c r="D14" s="3"/>
      <c r="E14" s="3"/>
      <c r="F14" s="3"/>
      <c r="G14" s="3"/>
      <c r="H14" s="3"/>
      <c r="I14" s="3"/>
      <c r="J14" s="3"/>
      <c r="K14" s="43">
        <f>K13*J5</f>
        <v>64.86</v>
      </c>
      <c r="L14" s="3" t="s">
        <v>177</v>
      </c>
      <c r="M14" s="16">
        <f>K14/10</f>
        <v>6.4859999999999998</v>
      </c>
      <c r="N14" s="17" t="s">
        <v>28</v>
      </c>
    </row>
    <row r="15" spans="1:14" ht="15.75" x14ac:dyDescent="0.25">
      <c r="B15" s="3"/>
      <c r="C15" s="3"/>
      <c r="D15" s="3"/>
      <c r="E15" s="3"/>
      <c r="F15" s="3"/>
      <c r="G15" s="3"/>
      <c r="H15" s="3"/>
      <c r="I15" s="5"/>
      <c r="J15" s="81"/>
      <c r="K15" s="99"/>
      <c r="L15" s="100"/>
    </row>
    <row r="16" spans="1:14" ht="18.75" x14ac:dyDescent="0.25">
      <c r="A16" s="4" t="s">
        <v>23</v>
      </c>
      <c r="B16" s="3" t="s">
        <v>180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20.25" x14ac:dyDescent="0.35">
      <c r="A17" s="4"/>
      <c r="B17" s="3" t="s">
        <v>52</v>
      </c>
      <c r="C17" s="3"/>
      <c r="D17" s="3"/>
      <c r="E17" s="3"/>
      <c r="F17" s="3" t="s">
        <v>51</v>
      </c>
      <c r="G17" s="3">
        <v>24</v>
      </c>
      <c r="H17" s="3" t="s">
        <v>50</v>
      </c>
      <c r="I17" s="5" t="s">
        <v>49</v>
      </c>
      <c r="J17" s="8">
        <f>0.000018</f>
        <v>1.8E-5</v>
      </c>
      <c r="K17" s="3"/>
      <c r="L17" s="3"/>
      <c r="M17" s="3"/>
    </row>
    <row r="18" spans="1:17" ht="15.75" x14ac:dyDescent="0.2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7" ht="19.5" x14ac:dyDescent="0.3">
      <c r="A19" s="4"/>
      <c r="B19" s="10" t="s">
        <v>58</v>
      </c>
      <c r="C19" s="10"/>
      <c r="D19" s="10"/>
      <c r="E19" s="10" t="s">
        <v>59</v>
      </c>
      <c r="F19" s="10"/>
      <c r="G19" s="10"/>
      <c r="H19" s="3"/>
      <c r="I19" s="3"/>
      <c r="J19" s="3"/>
      <c r="K19" s="3"/>
      <c r="L19" s="3"/>
      <c r="M19" s="3"/>
    </row>
    <row r="20" spans="1:17" ht="19.5" x14ac:dyDescent="0.3">
      <c r="A20" s="4"/>
      <c r="B20" s="10">
        <f>3/24</f>
        <v>0.125</v>
      </c>
      <c r="C20" s="9" t="s">
        <v>53</v>
      </c>
      <c r="D20" s="10">
        <f>B20</f>
        <v>0.125</v>
      </c>
      <c r="E20" s="9" t="s">
        <v>57</v>
      </c>
      <c r="F20" s="9"/>
      <c r="G20" s="10">
        <v>1</v>
      </c>
      <c r="H20" s="19" t="s">
        <v>56</v>
      </c>
      <c r="I20" s="19"/>
      <c r="J20" s="3"/>
      <c r="K20" s="3"/>
      <c r="L20" s="3"/>
      <c r="M20" s="3"/>
    </row>
    <row r="21" spans="1:17" ht="18.75" x14ac:dyDescent="0.25">
      <c r="A21" s="4"/>
      <c r="B21" s="10">
        <f>B20/G20</f>
        <v>0.125</v>
      </c>
      <c r="C21" s="9" t="s">
        <v>45</v>
      </c>
      <c r="D21" s="9"/>
      <c r="E21" s="9" t="s">
        <v>32</v>
      </c>
      <c r="F21" s="3"/>
      <c r="G21" s="3"/>
      <c r="H21" s="3"/>
      <c r="I21" s="3" t="s">
        <v>178</v>
      </c>
      <c r="J21" s="3"/>
      <c r="K21" s="3"/>
      <c r="L21" s="3"/>
      <c r="M21" s="3"/>
    </row>
    <row r="22" spans="1:17" ht="20.25" x14ac:dyDescent="0.35">
      <c r="A22" s="4"/>
      <c r="B22" s="10">
        <f>SQRT(J17*B21)</f>
        <v>1.5E-3</v>
      </c>
      <c r="C22" s="9" t="s">
        <v>45</v>
      </c>
      <c r="D22" s="9"/>
      <c r="E22" s="9" t="s">
        <v>61</v>
      </c>
      <c r="F22" s="3"/>
      <c r="G22" s="3"/>
      <c r="H22" s="3"/>
      <c r="I22" s="7" t="s">
        <v>55</v>
      </c>
      <c r="J22" s="94"/>
      <c r="K22" s="3" t="s">
        <v>54</v>
      </c>
      <c r="L22" s="3"/>
      <c r="M22" s="3"/>
    </row>
    <row r="23" spans="1:17" ht="19.5" thickBot="1" x14ac:dyDescent="0.4">
      <c r="A23" s="4"/>
      <c r="B23" s="10">
        <f>-LOG10(B22)</f>
        <v>2.8239087409443187</v>
      </c>
      <c r="C23" s="9"/>
      <c r="D23" s="9"/>
      <c r="E23" s="9" t="s">
        <v>34</v>
      </c>
      <c r="F23" s="3"/>
      <c r="G23" s="3"/>
      <c r="H23" s="3"/>
      <c r="I23" s="3" t="s">
        <v>179</v>
      </c>
      <c r="J23" s="3"/>
      <c r="K23" s="3"/>
      <c r="L23" s="3"/>
      <c r="M23" s="3"/>
    </row>
    <row r="24" spans="1:17" ht="16.5" thickBot="1" x14ac:dyDescent="0.3">
      <c r="A24" s="4"/>
      <c r="B24" s="20">
        <f>14-B23</f>
        <v>11.176091259055681</v>
      </c>
      <c r="C24" s="18"/>
      <c r="D24" s="18"/>
      <c r="E24" s="14" t="s">
        <v>35</v>
      </c>
      <c r="F24" s="3"/>
      <c r="G24" s="3"/>
      <c r="H24" s="3"/>
      <c r="I24" s="3"/>
      <c r="J24" s="3"/>
      <c r="K24" s="3"/>
      <c r="L24" s="3"/>
      <c r="M24" s="3"/>
    </row>
    <row r="26" spans="1:17" s="3" customFormat="1" ht="18.75" x14ac:dyDescent="0.25">
      <c r="A26" s="4" t="s">
        <v>25</v>
      </c>
      <c r="B26" s="3" t="s">
        <v>181</v>
      </c>
      <c r="G26" s="3" t="s">
        <v>164</v>
      </c>
    </row>
    <row r="27" spans="1:17" s="3" customFormat="1" ht="15.75" x14ac:dyDescent="0.25">
      <c r="B27" s="3" t="s">
        <v>163</v>
      </c>
    </row>
    <row r="28" spans="1:17" s="3" customFormat="1" ht="15.75" x14ac:dyDescent="0.25"/>
    <row r="29" spans="1:17" s="3" customFormat="1" ht="19.5" x14ac:dyDescent="0.3">
      <c r="B29" s="16" t="s">
        <v>165</v>
      </c>
      <c r="C29" s="17"/>
      <c r="D29" s="10"/>
      <c r="E29" s="10"/>
      <c r="G29" s="5" t="s">
        <v>70</v>
      </c>
      <c r="H29" s="5" t="s">
        <v>37</v>
      </c>
      <c r="I29" s="5" t="s">
        <v>167</v>
      </c>
      <c r="J29" s="3" t="s">
        <v>166</v>
      </c>
    </row>
    <row r="30" spans="1:17" s="3" customFormat="1" ht="18.75" x14ac:dyDescent="0.25">
      <c r="H30" s="10">
        <f>POWER(10,-7)</f>
        <v>9.9999999999999995E-8</v>
      </c>
      <c r="I30" s="10">
        <f>POWER(10,-1)</f>
        <v>0.1</v>
      </c>
      <c r="J30" s="30" t="s">
        <v>60</v>
      </c>
      <c r="K30" s="9" t="s">
        <v>45</v>
      </c>
    </row>
    <row r="31" spans="1:17" s="3" customFormat="1" ht="18.75" x14ac:dyDescent="0.25">
      <c r="B31" s="10">
        <v>30000</v>
      </c>
      <c r="C31" s="9" t="s">
        <v>168</v>
      </c>
      <c r="D31" s="9"/>
      <c r="E31" s="9">
        <v>20</v>
      </c>
      <c r="F31" s="9" t="s">
        <v>150</v>
      </c>
      <c r="G31" s="9"/>
      <c r="I31" s="31">
        <f>(I30-H30)*1000</f>
        <v>99.999899999999997</v>
      </c>
      <c r="J31" s="30" t="s">
        <v>60</v>
      </c>
      <c r="K31" s="9" t="s">
        <v>68</v>
      </c>
    </row>
    <row r="32" spans="1:17" s="3" customFormat="1" ht="19.5" x14ac:dyDescent="0.3">
      <c r="B32" s="10">
        <f>B31*E31/100</f>
        <v>6000</v>
      </c>
      <c r="C32" s="9" t="s">
        <v>169</v>
      </c>
      <c r="E32" s="5" t="s">
        <v>40</v>
      </c>
      <c r="F32" s="3">
        <f>2+32+4*16</f>
        <v>98</v>
      </c>
      <c r="H32" s="21">
        <v>1</v>
      </c>
      <c r="I32" s="22" t="s">
        <v>65</v>
      </c>
      <c r="J32" s="22"/>
      <c r="K32" s="32">
        <f>I31</f>
        <v>99.999899999999997</v>
      </c>
      <c r="L32" s="22" t="s">
        <v>63</v>
      </c>
      <c r="M32" s="88"/>
      <c r="N32" s="22"/>
      <c r="O32" s="23"/>
      <c r="P32" s="27"/>
      <c r="Q32" s="27"/>
    </row>
    <row r="33" spans="1:17" s="3" customFormat="1" ht="20.25" thickBot="1" x14ac:dyDescent="0.35">
      <c r="B33" s="16">
        <f>B32/F32</f>
        <v>61.224489795918366</v>
      </c>
      <c r="C33" s="33" t="s">
        <v>170</v>
      </c>
      <c r="D33" s="6"/>
      <c r="E33" s="6" t="s">
        <v>36</v>
      </c>
      <c r="F33" s="34">
        <f>2*B33</f>
        <v>122.44897959183673</v>
      </c>
      <c r="G33" s="35" t="s">
        <v>62</v>
      </c>
      <c r="H33" s="26" t="s">
        <v>21</v>
      </c>
      <c r="I33" s="27" t="s">
        <v>64</v>
      </c>
      <c r="J33" s="27"/>
      <c r="K33" s="25">
        <f>F33</f>
        <v>122.44897959183673</v>
      </c>
      <c r="L33" s="24" t="s">
        <v>160</v>
      </c>
      <c r="M33" s="89"/>
      <c r="N33" s="27"/>
      <c r="O33" s="90"/>
      <c r="P33" s="27"/>
      <c r="Q33" s="27"/>
    </row>
    <row r="34" spans="1:17" s="3" customFormat="1" ht="19.5" thickBot="1" x14ac:dyDescent="0.3">
      <c r="H34" s="28" t="s">
        <v>67</v>
      </c>
      <c r="I34" s="29">
        <f>H32*K33/K32</f>
        <v>1.2244910204093877</v>
      </c>
      <c r="J34" s="14" t="s">
        <v>66</v>
      </c>
      <c r="M34" s="91" t="s">
        <v>171</v>
      </c>
      <c r="N34" s="7"/>
      <c r="O34" s="92"/>
    </row>
    <row r="36" spans="1:17" ht="20.25" x14ac:dyDescent="0.35">
      <c r="A36" s="9" t="s">
        <v>26</v>
      </c>
      <c r="B36" s="3" t="s">
        <v>182</v>
      </c>
      <c r="C36" s="3"/>
      <c r="D36" s="3"/>
      <c r="E36" s="3"/>
      <c r="F36" s="3"/>
      <c r="G36" s="3"/>
      <c r="I36" s="36" t="s">
        <v>6</v>
      </c>
      <c r="J36" s="3"/>
      <c r="K36" s="3"/>
      <c r="L36" s="3"/>
    </row>
    <row r="37" spans="1:17" ht="15.75" x14ac:dyDescent="0.25">
      <c r="A37" s="3"/>
      <c r="B37" s="3"/>
      <c r="C37" s="3"/>
      <c r="D37" s="3"/>
      <c r="E37" s="3"/>
      <c r="F37" s="3"/>
      <c r="G37" s="3"/>
      <c r="H37" s="5" t="s">
        <v>162</v>
      </c>
      <c r="I37" s="11">
        <v>1.86208713666286E-5</v>
      </c>
      <c r="J37" s="3"/>
      <c r="K37" s="3"/>
      <c r="L37" s="3"/>
    </row>
    <row r="38" spans="1:17" ht="15.75" x14ac:dyDescent="0.25">
      <c r="A38" s="3"/>
      <c r="B38" s="5" t="s">
        <v>40</v>
      </c>
      <c r="C38" s="10">
        <f>2*12+4*1+2*16</f>
        <v>60</v>
      </c>
      <c r="D38" s="9" t="s">
        <v>41</v>
      </c>
      <c r="E38" s="3"/>
      <c r="F38" s="3" t="s">
        <v>43</v>
      </c>
      <c r="G38" s="3"/>
      <c r="H38" s="3"/>
      <c r="I38" s="3"/>
      <c r="J38" s="3"/>
      <c r="K38" s="3"/>
      <c r="L38" s="3"/>
    </row>
    <row r="39" spans="1:17" ht="18.75" x14ac:dyDescent="0.25">
      <c r="A39" s="3"/>
      <c r="B39" s="3"/>
      <c r="C39" s="3"/>
      <c r="D39" s="5" t="s">
        <v>183</v>
      </c>
      <c r="E39" s="10">
        <f>1000*0.2+800*0.1</f>
        <v>280</v>
      </c>
      <c r="F39" s="72" t="s">
        <v>42</v>
      </c>
      <c r="G39" s="3" t="s">
        <v>44</v>
      </c>
      <c r="H39" s="10">
        <f>E39/E40</f>
        <v>155.55555555555554</v>
      </c>
      <c r="I39" s="9" t="s">
        <v>120</v>
      </c>
      <c r="J39" s="36"/>
      <c r="K39" s="3"/>
      <c r="L39" s="3"/>
    </row>
    <row r="40" spans="1:17" ht="19.5" thickBot="1" x14ac:dyDescent="0.3">
      <c r="A40" s="3"/>
      <c r="B40" s="3"/>
      <c r="C40" s="3"/>
      <c r="D40" s="5" t="s">
        <v>184</v>
      </c>
      <c r="E40" s="10">
        <f>1+0.8</f>
        <v>1.8</v>
      </c>
      <c r="F40" s="9" t="s">
        <v>123</v>
      </c>
      <c r="G40" s="49" t="s">
        <v>7</v>
      </c>
      <c r="H40" s="73">
        <f>H39/C38</f>
        <v>2.5925925925925926</v>
      </c>
      <c r="I40" s="9" t="s">
        <v>124</v>
      </c>
      <c r="J40" s="3"/>
      <c r="K40" s="49" t="s">
        <v>125</v>
      </c>
      <c r="L40" s="66">
        <f>SQRT(I37*H40)</f>
        <v>6.948117239421109E-3</v>
      </c>
    </row>
    <row r="41" spans="1:17" ht="16.5" thickBo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74" t="s">
        <v>4</v>
      </c>
      <c r="L41" s="68">
        <f>-LOG10(L40)</f>
        <v>2.1581328620723661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3.Gyakorlat</vt:lpstr>
      <vt:lpstr>ZH3</vt:lpstr>
      <vt:lpstr>ZH3 megoldás</vt:lpstr>
      <vt:lpstr>ZH3p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cp:lastPrinted>2021-10-14T17:07:03Z</cp:lastPrinted>
  <dcterms:created xsi:type="dcterms:W3CDTF">2015-06-05T18:19:34Z</dcterms:created>
  <dcterms:modified xsi:type="dcterms:W3CDTF">2021-12-17T18:15:15Z</dcterms:modified>
</cp:coreProperties>
</file>