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L2021\Oktatás\ŐSZI FÉLÉV\Kemalap\1.gyak\"/>
    </mc:Choice>
  </mc:AlternateContent>
  <xr:revisionPtr revIDLastSave="0" documentId="13_ncr:1_{AA38ADC2-0CEB-4A85-BD2E-52D5F43A2D58}" xr6:coauthVersionLast="47" xr6:coauthVersionMax="47" xr10:uidLastSave="{00000000-0000-0000-0000-000000000000}"/>
  <bookViews>
    <workbookView xWindow="15600" yWindow="0" windowWidth="13185" windowHeight="7830" firstSheet="1" activeTab="6" xr2:uid="{D2C788CF-9A85-441D-80E2-77B59E46A42C}"/>
  </bookViews>
  <sheets>
    <sheet name="adatok" sheetId="7" r:id="rId1"/>
    <sheet name="Termo1" sheetId="6" r:id="rId2"/>
    <sheet name="Termo1_meg" sheetId="1" r:id="rId3"/>
    <sheet name="Termo2" sheetId="5" r:id="rId4"/>
    <sheet name="Termo2_meg" sheetId="2" r:id="rId5"/>
    <sheet name="ZH1megoldás" sheetId="8" r:id="rId6"/>
    <sheet name="ZH1potmeg" sheetId="9" r:id="rId7"/>
  </sheets>
  <definedNames>
    <definedName name="_xlnm.Print_Area" localSheetId="2">Termo1_meg!$A$1:$O$36</definedName>
    <definedName name="_xlnm.Print_Area" localSheetId="4">Termo2_meg!$A$1:$O$39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9" l="1"/>
  <c r="D18" i="9"/>
  <c r="D19" i="9"/>
  <c r="B34" i="9"/>
  <c r="D33" i="9"/>
  <c r="B33" i="9"/>
  <c r="D27" i="9" l="1"/>
  <c r="F27" i="9" s="1"/>
  <c r="D26" i="9"/>
  <c r="B26" i="9"/>
  <c r="F11" i="9"/>
  <c r="D10" i="9"/>
  <c r="D34" i="9"/>
  <c r="F34" i="9" s="1"/>
  <c r="D17" i="9"/>
  <c r="B8" i="9"/>
  <c r="D9" i="9"/>
  <c r="D8" i="9"/>
  <c r="B17" i="9"/>
  <c r="D18" i="8"/>
  <c r="D33" i="8"/>
  <c r="B33" i="8"/>
  <c r="H32" i="8"/>
  <c r="D26" i="8"/>
  <c r="D27" i="8" s="1"/>
  <c r="D19" i="8"/>
  <c r="D17" i="8"/>
  <c r="B17" i="8"/>
  <c r="B8" i="8"/>
  <c r="D10" i="8"/>
  <c r="D9" i="8"/>
  <c r="D8" i="8"/>
  <c r="D11" i="9" l="1"/>
  <c r="H11" i="9" s="1"/>
  <c r="D20" i="9"/>
  <c r="F20" i="9" s="1"/>
  <c r="H20" i="9" s="1"/>
  <c r="D34" i="8"/>
  <c r="D20" i="8"/>
  <c r="F20" i="8" s="1"/>
  <c r="H20" i="8" s="1"/>
  <c r="D11" i="8"/>
  <c r="F11" i="8" s="1"/>
  <c r="H11" i="8" s="1"/>
  <c r="M39" i="2" l="1"/>
  <c r="L37" i="2"/>
  <c r="J37" i="2"/>
  <c r="L36" i="2"/>
  <c r="J36" i="2"/>
  <c r="E37" i="2"/>
  <c r="I31" i="2"/>
  <c r="K29" i="2"/>
  <c r="K30" i="2"/>
  <c r="I29" i="2"/>
  <c r="I30" i="2" s="1"/>
  <c r="C31" i="2"/>
  <c r="A31" i="2"/>
  <c r="C30" i="2"/>
  <c r="A30" i="2"/>
  <c r="F26" i="2"/>
  <c r="J38" i="2" s="1"/>
  <c r="B19" i="2"/>
  <c r="E19" i="2" s="1"/>
  <c r="B7" i="2"/>
  <c r="E7" i="2" s="1"/>
  <c r="B6" i="2"/>
  <c r="E6" i="2" s="1"/>
  <c r="J12" i="2"/>
  <c r="D8" i="2"/>
  <c r="D20" i="2" s="1"/>
  <c r="E20" i="2" s="1"/>
  <c r="D20" i="1"/>
  <c r="D9" i="1"/>
  <c r="L20" i="1"/>
  <c r="D3" i="2"/>
  <c r="D15" i="2" s="1"/>
  <c r="J19" i="1"/>
  <c r="J18" i="1"/>
  <c r="B19" i="1"/>
  <c r="B18" i="1"/>
  <c r="L9" i="1"/>
  <c r="J8" i="1"/>
  <c r="J7" i="1"/>
  <c r="B8" i="1"/>
  <c r="B7" i="1"/>
  <c r="B33" i="1"/>
  <c r="M27" i="1"/>
  <c r="K38" i="2"/>
  <c r="C29" i="2"/>
  <c r="M20" i="2"/>
  <c r="M8" i="2"/>
  <c r="M7" i="2"/>
  <c r="M6" i="2"/>
  <c r="K31" i="2" l="1"/>
  <c r="B18" i="2"/>
  <c r="A29" i="2"/>
  <c r="E38" i="2" s="1"/>
  <c r="L3" i="2"/>
  <c r="J19" i="2"/>
  <c r="M19" i="2" s="1"/>
  <c r="L15" i="2"/>
  <c r="E8" i="2"/>
  <c r="E9" i="2" s="1"/>
  <c r="C11" i="2" s="1"/>
  <c r="M9" i="2"/>
  <c r="L11" i="2" l="1"/>
  <c r="L12" i="2" s="1"/>
  <c r="N12" i="2" s="1"/>
  <c r="J18" i="2"/>
  <c r="M18" i="2" s="1"/>
  <c r="M21" i="2" s="1"/>
  <c r="E18" i="2"/>
  <c r="E21" i="2" s="1"/>
  <c r="C23" i="2"/>
  <c r="M33" i="1"/>
  <c r="M34" i="1" s="1"/>
  <c r="M35" i="1" s="1"/>
  <c r="E27" i="1"/>
  <c r="M20" i="1"/>
  <c r="M19" i="1"/>
  <c r="M18" i="1"/>
  <c r="M9" i="1"/>
  <c r="M8" i="1"/>
  <c r="M7" i="1"/>
  <c r="E20" i="1"/>
  <c r="E19" i="1"/>
  <c r="E18" i="1"/>
  <c r="E9" i="1"/>
  <c r="E8" i="1"/>
  <c r="E7" i="1"/>
  <c r="L23" i="2" l="1"/>
  <c r="L24" i="2" s="1"/>
  <c r="N24" i="2" s="1"/>
  <c r="N25" i="2" s="1"/>
  <c r="E10" i="1"/>
  <c r="C12" i="1" s="1"/>
  <c r="M21" i="1"/>
  <c r="K23" i="1" s="1"/>
  <c r="M10" i="1"/>
  <c r="K12" i="1" s="1"/>
  <c r="E21" i="1"/>
  <c r="C23" i="1" s="1"/>
</calcChain>
</file>

<file path=xl/sharedStrings.xml><?xml version="1.0" encoding="utf-8"?>
<sst xmlns="http://schemas.openxmlformats.org/spreadsheetml/2006/main" count="363" uniqueCount="169">
  <si>
    <t xml:space="preserve">Termokémiai számítások </t>
  </si>
  <si>
    <t>A feladatsor</t>
  </si>
  <si>
    <t xml:space="preserve">1. Az etán fűtőértékének kiszámítása MJ/kg-ban. </t>
  </si>
  <si>
    <t>g/mol</t>
  </si>
  <si>
    <r>
      <t>Etán 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</si>
  <si>
    <r>
      <t>2 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+7O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=4CO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+6H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(g)</t>
    </r>
  </si>
  <si>
    <t>kJ/mol</t>
  </si>
  <si>
    <r>
      <rPr>
        <sz val="12"/>
        <rFont val="Calibri"/>
        <family val="2"/>
        <charset val="238"/>
      </rPr>
      <t>∆</t>
    </r>
    <r>
      <rPr>
        <sz val="12"/>
        <rFont val="Times New Roman"/>
        <family val="1"/>
        <charset val="238"/>
      </rPr>
      <t>H[H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O]</t>
    </r>
  </si>
  <si>
    <r>
      <t>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bontáshoz szüks. hő</t>
    </r>
  </si>
  <si>
    <t>Összesen:</t>
  </si>
  <si>
    <t>→</t>
  </si>
  <si>
    <r>
      <t>M[C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]= </t>
    </r>
  </si>
  <si>
    <r>
      <t>2. Az etán fűtőértékének kiszámítása MJ/m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-ben.</t>
    </r>
  </si>
  <si>
    <t>3. Etán égéshőjének kiszámítása MJ/kg-ban.</t>
  </si>
  <si>
    <r>
      <t>2 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+7O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=4CO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+6H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(l)</t>
    </r>
  </si>
  <si>
    <r>
      <rPr>
        <sz val="12"/>
        <rFont val="Calibri"/>
        <family val="2"/>
        <charset val="238"/>
      </rPr>
      <t>∆</t>
    </r>
    <r>
      <rPr>
        <sz val="12"/>
        <rFont val="Times New Roman"/>
        <family val="1"/>
        <charset val="238"/>
      </rPr>
      <t>H[CO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]</t>
    </r>
  </si>
  <si>
    <r>
      <t>4. Etán égéshőjének kiszámítása MJ/m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-ben. </t>
    </r>
  </si>
  <si>
    <r>
      <t>5. Elégetünk 5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etánt.</t>
    </r>
  </si>
  <si>
    <t xml:space="preserve">5/a </t>
  </si>
  <si>
    <r>
      <t>Hány m</t>
    </r>
    <r>
      <rPr>
        <b/>
        <i/>
        <vertAlign val="superscript"/>
        <sz val="12"/>
        <color theme="1"/>
        <rFont val="Times New Roman"/>
        <family val="1"/>
        <charset val="238"/>
      </rPr>
      <t>3</t>
    </r>
    <r>
      <rPr>
        <b/>
        <i/>
        <sz val="12"/>
        <color theme="1"/>
        <rFont val="Times New Roman"/>
        <family val="1"/>
        <charset val="238"/>
      </rPr>
      <t xml:space="preserve"> CO</t>
    </r>
    <r>
      <rPr>
        <b/>
        <i/>
        <vertAlign val="subscript"/>
        <sz val="12"/>
        <color theme="1"/>
        <rFont val="Times New Roman"/>
        <family val="1"/>
        <charset val="238"/>
      </rPr>
      <t>2</t>
    </r>
    <r>
      <rPr>
        <b/>
        <i/>
        <sz val="12"/>
        <color theme="1"/>
        <rFont val="Times New Roman"/>
        <family val="1"/>
        <charset val="238"/>
      </rPr>
      <t xml:space="preserve"> keletkezik?</t>
    </r>
  </si>
  <si>
    <t xml:space="preserve">5/b </t>
  </si>
  <si>
    <r>
      <t>Hány m</t>
    </r>
    <r>
      <rPr>
        <b/>
        <i/>
        <vertAlign val="superscript"/>
        <sz val="12"/>
        <color theme="1"/>
        <rFont val="Times New Roman"/>
        <family val="1"/>
        <charset val="238"/>
      </rPr>
      <t>3</t>
    </r>
    <r>
      <rPr>
        <b/>
        <i/>
        <sz val="12"/>
        <color theme="1"/>
        <rFont val="Times New Roman"/>
        <family val="1"/>
        <charset val="238"/>
      </rPr>
      <t xml:space="preserve"> O</t>
    </r>
    <r>
      <rPr>
        <b/>
        <i/>
        <vertAlign val="subscript"/>
        <sz val="12"/>
        <color theme="1"/>
        <rFont val="Times New Roman"/>
        <family val="1"/>
        <charset val="238"/>
      </rPr>
      <t>2</t>
    </r>
    <r>
      <rPr>
        <b/>
        <i/>
        <sz val="12"/>
        <color theme="1"/>
        <rFont val="Times New Roman"/>
        <family val="1"/>
        <charset val="238"/>
      </rPr>
      <t xml:space="preserve"> szükséges?</t>
    </r>
  </si>
  <si>
    <r>
      <t>2 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+7O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=4CO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+6H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O </t>
    </r>
  </si>
  <si>
    <t xml:space="preserve">5/c </t>
  </si>
  <si>
    <r>
      <t>Hány m</t>
    </r>
    <r>
      <rPr>
        <b/>
        <i/>
        <vertAlign val="superscript"/>
        <sz val="12"/>
        <color theme="1"/>
        <rFont val="Times New Roman"/>
        <family val="1"/>
        <charset val="238"/>
      </rPr>
      <t>3</t>
    </r>
    <r>
      <rPr>
        <b/>
        <i/>
        <sz val="12"/>
        <color theme="1"/>
        <rFont val="Times New Roman"/>
        <family val="1"/>
        <charset val="238"/>
      </rPr>
      <t xml:space="preserve"> levegő (minimum) szükséges?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</si>
  <si>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levegőben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</si>
  <si>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O</t>
    </r>
    <r>
      <rPr>
        <vertAlign val="subscript"/>
        <sz val="12"/>
        <color theme="1"/>
        <rFont val="Times New Roman"/>
        <family val="1"/>
        <charset val="238"/>
      </rPr>
      <t>2</t>
    </r>
  </si>
  <si>
    <t>5/d</t>
  </si>
  <si>
    <t>Hány l víz (folyadék) keletkezik?</t>
  </si>
  <si>
    <t>g</t>
  </si>
  <si>
    <t>3 mol</t>
  </si>
  <si>
    <r>
      <t>1 mol (24l) C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6</t>
    </r>
  </si>
  <si>
    <r>
      <t xml:space="preserve">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</t>
    </r>
  </si>
  <si>
    <r>
      <t>dm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</si>
  <si>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g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0</t>
    </r>
  </si>
  <si>
    <t>11,25 l víz keletkezik.</t>
  </si>
  <si>
    <t>B feladatsor</t>
  </si>
  <si>
    <r>
      <t>Hexán 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</si>
  <si>
    <r>
      <t>M[C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  <r>
      <rPr>
        <sz val="12"/>
        <rFont val="Times New Roman"/>
        <family val="1"/>
        <charset val="238"/>
      </rPr>
      <t xml:space="preserve"> ]= </t>
    </r>
  </si>
  <si>
    <r>
      <t>2 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  <r>
      <rPr>
        <sz val="12"/>
        <rFont val="Times New Roman"/>
        <family val="1"/>
        <charset val="238"/>
      </rPr>
      <t>+19O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=12CO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+14H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(g)</t>
    </r>
  </si>
  <si>
    <r>
      <t>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H14 bontáshoz szüks. hő</t>
    </r>
  </si>
  <si>
    <t xml:space="preserve">1. A hexán fűtőértékének kiszámítása MJ/kg-ban. </t>
  </si>
  <si>
    <t>2. A hexán fűtőértékének kiszámítása MJ/l-ben.</t>
  </si>
  <si>
    <t>kJ</t>
  </si>
  <si>
    <t>ml</t>
  </si>
  <si>
    <t xml:space="preserve">3. A hexán égéshőjének kiszámítása MJ/kg-ban. </t>
  </si>
  <si>
    <r>
      <t>2 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  <r>
      <rPr>
        <sz val="12"/>
        <rFont val="Times New Roman"/>
        <family val="1"/>
        <charset val="238"/>
      </rPr>
      <t>+19O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=12CO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+14H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(l)</t>
    </r>
  </si>
  <si>
    <r>
      <t>4. A hexán égéshőjének kiszámítása MJ/m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-ben. </t>
    </r>
  </si>
  <si>
    <r>
      <t>5. Elégetünk 5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hexánt.</t>
    </r>
  </si>
  <si>
    <r>
      <t>2 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  <r>
      <rPr>
        <sz val="12"/>
        <rFont val="Times New Roman"/>
        <family val="1"/>
        <charset val="238"/>
      </rPr>
      <t>+19O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=12CO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+14H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O </t>
    </r>
  </si>
  <si>
    <t>2 mól - osztás 60g-al!</t>
  </si>
  <si>
    <t>2 mól - osztás 48l-el!</t>
  </si>
  <si>
    <t>2 mól - osztás 172g-al!</t>
  </si>
  <si>
    <t>MJ/l</t>
  </si>
  <si>
    <t>kg</t>
  </si>
  <si>
    <t>l</t>
  </si>
  <si>
    <r>
      <t>m</t>
    </r>
    <r>
      <rPr>
        <b/>
        <vertAlign val="superscript"/>
        <sz val="12"/>
        <color rgb="FFFF0000"/>
        <rFont val="Times New Roman"/>
        <family val="1"/>
        <charset val="238"/>
      </rPr>
      <t>3</t>
    </r>
    <r>
      <rPr>
        <b/>
        <sz val="12"/>
        <color rgb="FFFF0000"/>
        <rFont val="Times New Roman"/>
        <family val="1"/>
        <charset val="238"/>
      </rPr>
      <t xml:space="preserve"> CO</t>
    </r>
    <r>
      <rPr>
        <b/>
        <vertAlign val="subscript"/>
        <sz val="12"/>
        <color rgb="FFFF0000"/>
        <rFont val="Times New Roman"/>
        <family val="1"/>
        <charset val="238"/>
      </rPr>
      <t>2</t>
    </r>
    <r>
      <rPr>
        <b/>
        <sz val="12"/>
        <color rgb="FFFF0000"/>
        <rFont val="Times New Roman"/>
        <family val="1"/>
        <charset val="238"/>
      </rPr>
      <t xml:space="preserve"> keletkezik.</t>
    </r>
  </si>
  <si>
    <r>
      <t>m</t>
    </r>
    <r>
      <rPr>
        <b/>
        <vertAlign val="superscript"/>
        <sz val="12"/>
        <color rgb="FFFF0000"/>
        <rFont val="Times New Roman"/>
        <family val="1"/>
        <charset val="238"/>
      </rPr>
      <t>3</t>
    </r>
    <r>
      <rPr>
        <b/>
        <sz val="12"/>
        <color rgb="FFFF0000"/>
        <rFont val="Times New Roman"/>
        <family val="1"/>
        <charset val="238"/>
      </rPr>
      <t xml:space="preserve"> O</t>
    </r>
    <r>
      <rPr>
        <b/>
        <vertAlign val="subscript"/>
        <sz val="12"/>
        <color rgb="FFFF0000"/>
        <rFont val="Times New Roman"/>
        <family val="1"/>
        <charset val="238"/>
      </rPr>
      <t xml:space="preserve">2 </t>
    </r>
    <r>
      <rPr>
        <b/>
        <sz val="12"/>
        <color rgb="FFFF0000"/>
        <rFont val="Times New Roman"/>
        <family val="1"/>
        <charset val="238"/>
      </rPr>
      <t>szükséges.</t>
    </r>
  </si>
  <si>
    <t xml:space="preserve">a hexán képződéshője: -199 kJ/mól </t>
  </si>
  <si>
    <t>a hexán sűrűsége: 0,66 g/ml</t>
  </si>
  <si>
    <t>CO</t>
  </si>
  <si>
    <t>NO</t>
  </si>
  <si>
    <r>
      <t>CO</t>
    </r>
    <r>
      <rPr>
        <b/>
        <vertAlign val="subscript"/>
        <sz val="12"/>
        <rFont val="Times New Roman"/>
        <family val="1"/>
        <charset val="238"/>
      </rPr>
      <t>2</t>
    </r>
  </si>
  <si>
    <r>
      <t>CH</t>
    </r>
    <r>
      <rPr>
        <b/>
        <vertAlign val="subscript"/>
        <sz val="12"/>
        <rFont val="Times New Roman"/>
        <family val="1"/>
        <charset val="238"/>
      </rPr>
      <t>4</t>
    </r>
  </si>
  <si>
    <r>
      <t>C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2</t>
    </r>
  </si>
  <si>
    <r>
      <t>C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4</t>
    </r>
  </si>
  <si>
    <r>
      <t>C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6</t>
    </r>
  </si>
  <si>
    <r>
      <t>C</t>
    </r>
    <r>
      <rPr>
        <b/>
        <vertAlign val="sub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8</t>
    </r>
  </si>
  <si>
    <r>
      <t>C</t>
    </r>
    <r>
      <rPr>
        <b/>
        <vertAlign val="subscript"/>
        <sz val="12"/>
        <rFont val="Times New Roman"/>
        <family val="1"/>
        <charset val="238"/>
      </rPr>
      <t>4</t>
    </r>
    <r>
      <rPr>
        <b/>
        <sz val="12"/>
        <rFont val="Times New Roman"/>
        <family val="1"/>
        <charset val="238"/>
      </rPr>
      <t>H</t>
    </r>
    <r>
      <rPr>
        <b/>
        <vertAlign val="subscript"/>
        <sz val="12"/>
        <rFont val="Times New Roman"/>
        <family val="1"/>
        <charset val="238"/>
      </rPr>
      <t>10</t>
    </r>
  </si>
  <si>
    <r>
      <t>H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O(l) HHV</t>
    </r>
  </si>
  <si>
    <r>
      <t>NH</t>
    </r>
    <r>
      <rPr>
        <b/>
        <vertAlign val="subscript"/>
        <sz val="12"/>
        <rFont val="Times New Roman"/>
        <family val="1"/>
        <charset val="238"/>
      </rPr>
      <t>3</t>
    </r>
  </si>
  <si>
    <r>
      <t>N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O</t>
    </r>
  </si>
  <si>
    <r>
      <t>HNO</t>
    </r>
    <r>
      <rPr>
        <b/>
        <vertAlign val="sub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>(l)</t>
    </r>
  </si>
  <si>
    <t>Képződéshők</t>
  </si>
  <si>
    <r>
      <t>H</t>
    </r>
    <r>
      <rPr>
        <b/>
        <vertAlign val="sub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O(g) LHV</t>
    </r>
  </si>
  <si>
    <r>
      <t>2.C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  <r>
      <rPr>
        <sz val="12"/>
        <rFont val="Times New Roman"/>
        <family val="1"/>
        <charset val="238"/>
      </rPr>
      <t>+19.O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=12.CO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+14.H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 (l)</t>
    </r>
  </si>
  <si>
    <t xml:space="preserve">x </t>
  </si>
  <si>
    <r>
      <t>kg 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</si>
  <si>
    <t xml:space="preserve">x = 3300*126/86 = </t>
  </si>
  <si>
    <t xml:space="preserve"> l (kg) víz</t>
  </si>
  <si>
    <r>
      <t>NO</t>
    </r>
    <r>
      <rPr>
        <b/>
        <vertAlign val="subscript"/>
        <sz val="12"/>
        <rFont val="Times New Roman"/>
        <family val="1"/>
        <charset val="238"/>
      </rPr>
      <t>2</t>
    </r>
  </si>
  <si>
    <t xml:space="preserve"> 4 mol</t>
  </si>
  <si>
    <t xml:space="preserve"> 6 mol</t>
  </si>
  <si>
    <t xml:space="preserve"> 2 mol</t>
  </si>
  <si>
    <r>
      <t xml:space="preserve">→ 47,6 kJ/g = </t>
    </r>
    <r>
      <rPr>
        <b/>
        <sz val="12"/>
        <color rgb="FFFF0000"/>
        <rFont val="Times New Roman"/>
        <family val="1"/>
        <charset val="238"/>
      </rPr>
      <t>47,6 MJ/kg</t>
    </r>
  </si>
  <si>
    <r>
      <t xml:space="preserve">→ 52,0 kJ/g = </t>
    </r>
    <r>
      <rPr>
        <b/>
        <sz val="11"/>
        <color rgb="FFFF0000"/>
        <rFont val="Times New Roman"/>
        <family val="1"/>
        <charset val="238"/>
      </rPr>
      <t>52,0 MJ/kg</t>
    </r>
  </si>
  <si>
    <r>
      <t>V[C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]= </t>
    </r>
  </si>
  <si>
    <t>l/mol</t>
  </si>
  <si>
    <r>
      <t>C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bontáshoz szüks. hő 85 kJ/mol</t>
    </r>
  </si>
  <si>
    <r>
      <t>→ 59,5 kJ/dm</t>
    </r>
    <r>
      <rPr>
        <vertAlign val="superscript"/>
        <sz val="12"/>
        <color theme="1"/>
        <rFont val="Times New Roman"/>
        <family val="1"/>
        <charset val="238"/>
      </rPr>
      <t xml:space="preserve">3 </t>
    </r>
    <r>
      <rPr>
        <sz val="12"/>
        <color theme="1"/>
        <rFont val="Times New Roman"/>
        <family val="1"/>
        <charset val="238"/>
      </rPr>
      <t xml:space="preserve">= </t>
    </r>
    <r>
      <rPr>
        <b/>
        <sz val="12"/>
        <color rgb="FFFF0000"/>
        <rFont val="Times New Roman"/>
        <family val="1"/>
        <charset val="238"/>
      </rPr>
      <t>59,5 MJ/m</t>
    </r>
    <r>
      <rPr>
        <b/>
        <vertAlign val="superscript"/>
        <sz val="12"/>
        <color rgb="FFFF0000"/>
        <rFont val="Times New Roman"/>
        <family val="1"/>
        <charset val="238"/>
      </rPr>
      <t>3</t>
    </r>
  </si>
  <si>
    <r>
      <t>→65,0 kJ/dm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= </t>
    </r>
    <r>
      <rPr>
        <b/>
        <sz val="12"/>
        <color rgb="FFFF0000"/>
        <rFont val="Times New Roman"/>
        <family val="1"/>
        <charset val="238"/>
      </rPr>
      <t>65,0 MJ/m</t>
    </r>
    <r>
      <rPr>
        <b/>
        <vertAlign val="superscript"/>
        <sz val="12"/>
        <color rgb="FFFF0000"/>
        <rFont val="Times New Roman"/>
        <family val="1"/>
        <charset val="238"/>
      </rPr>
      <t>3</t>
    </r>
  </si>
  <si>
    <r>
      <t>2 mol etán -&gt; 4 mol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</si>
  <si>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2 mol etánhoz 7 mol 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</si>
  <si>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b/>
        <vertAlign val="superscript"/>
        <sz val="12"/>
        <color rgb="FFFF0000"/>
        <rFont val="Times New Roman"/>
        <family val="1"/>
        <charset val="238"/>
      </rPr>
      <t>3</t>
    </r>
    <r>
      <rPr>
        <b/>
        <sz val="12"/>
        <color rgb="FFFF0000"/>
        <rFont val="Times New Roman"/>
        <family val="1"/>
        <charset val="238"/>
      </rPr>
      <t xml:space="preserve"> levegőben</t>
    </r>
  </si>
  <si>
    <t>A HEXÁN FOLYADÉK!</t>
  </si>
  <si>
    <t>kJ/mól</t>
  </si>
  <si>
    <t>a hexán képződéshője:</t>
  </si>
  <si>
    <t>a hexán sűrűsége:</t>
  </si>
  <si>
    <t>g/ml</t>
  </si>
  <si>
    <t>mol</t>
  </si>
  <si>
    <r>
      <t>C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H</t>
    </r>
    <r>
      <rPr>
        <vertAlign val="subscript"/>
        <sz val="12"/>
        <rFont val="Times New Roman"/>
        <family val="1"/>
        <charset val="238"/>
      </rPr>
      <t>14</t>
    </r>
    <r>
      <rPr>
        <sz val="12"/>
        <rFont val="Times New Roman"/>
        <family val="1"/>
        <charset val="238"/>
      </rPr>
      <t xml:space="preserve"> bontáshoz szüks. hő</t>
    </r>
  </si>
  <si>
    <r>
      <t xml:space="preserve">→ 44,9 kJ/g = </t>
    </r>
    <r>
      <rPr>
        <b/>
        <sz val="12"/>
        <color rgb="FFFF0000"/>
        <rFont val="Times New Roman"/>
        <family val="1"/>
        <charset val="238"/>
      </rPr>
      <t>44,9 MJ/kg</t>
    </r>
  </si>
  <si>
    <r>
      <t xml:space="preserve">→ 48,5 kJ/g = </t>
    </r>
    <r>
      <rPr>
        <b/>
        <sz val="12"/>
        <color rgb="FFFF0000"/>
        <rFont val="Times New Roman"/>
        <family val="1"/>
        <charset val="238"/>
      </rPr>
      <t>48,5 MJ/kg</t>
    </r>
  </si>
  <si>
    <r>
      <t>MJ/m</t>
    </r>
    <r>
      <rPr>
        <b/>
        <vertAlign val="superscript"/>
        <sz val="12"/>
        <color rgb="FFFF0000"/>
        <rFont val="Times New Roman"/>
        <family val="1"/>
        <charset val="238"/>
      </rPr>
      <t>3</t>
    </r>
  </si>
  <si>
    <r>
      <t xml:space="preserve">kJ/ml = </t>
    </r>
    <r>
      <rPr>
        <b/>
        <sz val="12"/>
        <rFont val="Times New Roman"/>
        <family val="1"/>
        <charset val="238"/>
      </rPr>
      <t>32,0 MJ/l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</si>
  <si>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</si>
  <si>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m</t>
    </r>
    <r>
      <rPr>
        <vertAlign val="superscript"/>
        <sz val="12"/>
        <color rgb="FFFF0000"/>
        <rFont val="Times New Roman"/>
        <family val="1"/>
        <charset val="238"/>
      </rPr>
      <t>3</t>
    </r>
    <r>
      <rPr>
        <sz val="12"/>
        <color rgb="FFFF0000"/>
        <rFont val="Times New Roman"/>
        <family val="1"/>
        <charset val="238"/>
      </rPr>
      <t>hexán=</t>
    </r>
  </si>
  <si>
    <t>g  (2 mol)</t>
  </si>
  <si>
    <r>
      <t>l CO</t>
    </r>
    <r>
      <rPr>
        <vertAlign val="subscript"/>
        <sz val="12"/>
        <rFont val="Times New Roman"/>
        <family val="1"/>
        <charset val="238"/>
      </rPr>
      <t>2</t>
    </r>
  </si>
  <si>
    <r>
      <t>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CO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</t>
    </r>
  </si>
  <si>
    <r>
      <t>mol 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szükséges</t>
    </r>
  </si>
  <si>
    <r>
      <t>l 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szüks.</t>
    </r>
  </si>
  <si>
    <r>
      <t>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O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szüks.</t>
    </r>
  </si>
  <si>
    <r>
      <t>m</t>
    </r>
    <r>
      <rPr>
        <b/>
        <vertAlign val="superscript"/>
        <sz val="12"/>
        <color rgb="FFFF0000"/>
        <rFont val="Times New Roman"/>
        <family val="1"/>
        <charset val="238"/>
      </rPr>
      <t xml:space="preserve">3 </t>
    </r>
    <r>
      <rPr>
        <b/>
        <sz val="12"/>
        <color rgb="FFFF0000"/>
        <rFont val="Times New Roman"/>
        <family val="1"/>
        <charset val="238"/>
      </rPr>
      <t>O</t>
    </r>
    <r>
      <rPr>
        <b/>
        <vertAlign val="subscript"/>
        <sz val="12"/>
        <color rgb="FFFF0000"/>
        <rFont val="Times New Roman"/>
        <family val="1"/>
        <charset val="238"/>
      </rPr>
      <t>2</t>
    </r>
    <r>
      <rPr>
        <b/>
        <sz val="12"/>
        <color rgb="FFFF0000"/>
        <rFont val="Times New Roman"/>
        <family val="1"/>
        <charset val="238"/>
      </rPr>
      <t xml:space="preserve"> szükséges.</t>
    </r>
  </si>
  <si>
    <r>
      <t>m</t>
    </r>
    <r>
      <rPr>
        <b/>
        <vertAlign val="superscript"/>
        <sz val="12"/>
        <color rgb="FFFF0000"/>
        <rFont val="Times New Roman"/>
        <family val="1"/>
        <charset val="238"/>
      </rPr>
      <t>3</t>
    </r>
    <r>
      <rPr>
        <b/>
        <sz val="12"/>
        <color rgb="FFFF0000"/>
        <rFont val="Times New Roman"/>
        <family val="1"/>
        <charset val="238"/>
      </rPr>
      <t xml:space="preserve"> levegő szükséges</t>
    </r>
  </si>
  <si>
    <r>
      <t>g 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</t>
    </r>
  </si>
  <si>
    <r>
      <t>kg H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O</t>
    </r>
  </si>
  <si>
    <t>→     x</t>
  </si>
  <si>
    <t>g hexán</t>
  </si>
  <si>
    <t>kJ/ml =</t>
  </si>
  <si>
    <r>
      <t>4. A hexán égéshőjének kiszámítása</t>
    </r>
    <r>
      <rPr>
        <b/>
        <sz val="12"/>
        <color rgb="FFFF0000"/>
        <rFont val="Times New Roman"/>
        <family val="1"/>
        <charset val="238"/>
      </rPr>
      <t xml:space="preserve"> MJ/m</t>
    </r>
    <r>
      <rPr>
        <b/>
        <vertAlign val="superscript"/>
        <sz val="12"/>
        <color rgb="FFFF0000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-ben. </t>
    </r>
  </si>
  <si>
    <t xml:space="preserve">x = 100*8749/21 = </t>
  </si>
  <si>
    <t>Az oktán sűrűsége:</t>
  </si>
  <si>
    <t>Képződéshő (kJ/mol):</t>
  </si>
  <si>
    <t>gáz móltérfogat(l):</t>
  </si>
  <si>
    <t>M (g):</t>
  </si>
  <si>
    <t>kJ/2mol =</t>
  </si>
  <si>
    <t>MJ/kg</t>
  </si>
  <si>
    <t>1. Mennyi a propán fűtőértéke MJ/kg-ban</t>
  </si>
  <si>
    <t>3. 1 m3 metán elégetésekor hány liter víz keletkezik</t>
  </si>
  <si>
    <t>liter</t>
  </si>
  <si>
    <t>4. Elégetünk 5 liter oktánt.</t>
  </si>
  <si>
    <t>l oktán =</t>
  </si>
  <si>
    <t>g CO2</t>
  </si>
  <si>
    <t>g CO2 =</t>
  </si>
  <si>
    <r>
      <t>Hány kg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keletkezik?</t>
    </r>
  </si>
  <si>
    <t>kJ/g =&gt;</t>
  </si>
  <si>
    <t>kJ/l =&gt;</t>
  </si>
  <si>
    <r>
      <t>MJ/m</t>
    </r>
    <r>
      <rPr>
        <b/>
        <vertAlign val="superscript"/>
        <sz val="12"/>
        <color theme="1"/>
        <rFont val="Times New Roman"/>
        <family val="1"/>
        <charset val="238"/>
      </rPr>
      <t>3</t>
    </r>
  </si>
  <si>
    <t>l         x =</t>
  </si>
  <si>
    <r>
      <t>CH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 xml:space="preserve"> + 2.O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=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+2.H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</t>
    </r>
  </si>
  <si>
    <t>g   =</t>
  </si>
  <si>
    <r>
      <t>Képződéshők (kJ/mol) 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O(g):</t>
    </r>
  </si>
  <si>
    <r>
      <t>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 (l):</t>
    </r>
  </si>
  <si>
    <r>
      <t>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:</t>
    </r>
  </si>
  <si>
    <r>
      <t>2.C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8</t>
    </r>
    <r>
      <rPr>
        <sz val="12"/>
        <color theme="1"/>
        <rFont val="Times New Roman"/>
        <family val="1"/>
        <charset val="238"/>
      </rPr>
      <t xml:space="preserve"> + 10.O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= 6.CO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+ 8.H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</t>
    </r>
  </si>
  <si>
    <r>
      <t>2. Mennyi a bután égéshője MJ/m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-ben</t>
    </r>
  </si>
  <si>
    <r>
      <t>2*C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10</t>
    </r>
    <r>
      <rPr>
        <sz val="12"/>
        <color theme="1"/>
        <rFont val="Times New Roman"/>
        <family val="1"/>
        <charset val="238"/>
      </rPr>
      <t xml:space="preserve"> + 13.O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= 8.CO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+ 10.H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</t>
    </r>
  </si>
  <si>
    <t>M (g)=</t>
  </si>
  <si>
    <r>
      <t xml:space="preserve"> CO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</si>
  <si>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 xml:space="preserve">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O(l)</t>
    </r>
  </si>
  <si>
    <r>
      <t>C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10</t>
    </r>
  </si>
  <si>
    <r>
      <t xml:space="preserve">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O(g)</t>
    </r>
  </si>
  <si>
    <t>l metán</t>
  </si>
  <si>
    <t>g víz</t>
  </si>
  <si>
    <r>
      <t>g C</t>
    </r>
    <r>
      <rPr>
        <vertAlign val="subscript"/>
        <sz val="12"/>
        <color theme="1"/>
        <rFont val="Times New Roman"/>
        <family val="1"/>
        <charset val="238"/>
      </rPr>
      <t>8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18</t>
    </r>
  </si>
  <si>
    <t>ZH1_megoldás</t>
  </si>
  <si>
    <t>o</t>
  </si>
  <si>
    <r>
      <t>2*C</t>
    </r>
    <r>
      <rPr>
        <vertAlign val="subscript"/>
        <sz val="12"/>
        <color theme="1"/>
        <rFont val="Times New Roman"/>
        <family val="1"/>
        <charset val="238"/>
      </rPr>
      <t>8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18</t>
    </r>
    <r>
      <rPr>
        <sz val="12"/>
        <color theme="1"/>
        <rFont val="Times New Roman"/>
        <family val="1"/>
        <charset val="238"/>
      </rPr>
      <t xml:space="preserve"> + 25.O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= 16.CO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+ 18.H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</t>
    </r>
  </si>
  <si>
    <t>1. Mennyi a bután fűtőértéke MJ/kg-ban</t>
  </si>
  <si>
    <r>
      <t>2. Mennyi a propán égéshője MJ/m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-ben</t>
    </r>
  </si>
  <si>
    <r>
      <t>C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8</t>
    </r>
  </si>
  <si>
    <t>propán</t>
  </si>
  <si>
    <t>Az dekán sűrűsége:</t>
  </si>
  <si>
    <r>
      <t>2*C</t>
    </r>
    <r>
      <rPr>
        <vertAlign val="subscript"/>
        <sz val="12"/>
        <color theme="1"/>
        <rFont val="Times New Roman"/>
        <family val="1"/>
        <charset val="238"/>
      </rPr>
      <t>10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22</t>
    </r>
    <r>
      <rPr>
        <sz val="12"/>
        <color theme="1"/>
        <rFont val="Times New Roman"/>
        <family val="1"/>
        <charset val="238"/>
      </rPr>
      <t xml:space="preserve"> + 31.O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= 20.CO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+ 22.H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</t>
    </r>
  </si>
  <si>
    <r>
      <t>g C</t>
    </r>
    <r>
      <rPr>
        <vertAlign val="subscript"/>
        <sz val="12"/>
        <color theme="1"/>
        <rFont val="Times New Roman"/>
        <family val="1"/>
        <charset val="238"/>
      </rPr>
      <t>10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22</t>
    </r>
  </si>
  <si>
    <t>l dekán =</t>
  </si>
  <si>
    <r>
      <t>3. 8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propán elégetésekor hány liter víz keletkezik</t>
    </r>
  </si>
  <si>
    <t>4. Elégetünk 2 liter dekánt.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</si>
</sst>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</font>
    <font>
      <sz val="12"/>
      <name val="Times New Roman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vertAlign val="superscript"/>
      <sz val="12"/>
      <color theme="1"/>
      <name val="Times New Roman"/>
      <family val="1"/>
      <charset val="238"/>
    </font>
    <font>
      <b/>
      <i/>
      <vertAlign val="subscript"/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vertAlign val="superscript"/>
      <sz val="12"/>
      <color rgb="FFFF0000"/>
      <name val="Times New Roman"/>
      <family val="1"/>
      <charset val="238"/>
    </font>
    <font>
      <b/>
      <vertAlign val="subscript"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vertAlign val="superscript"/>
      <sz val="12"/>
      <color rgb="FFFF0000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4" fillId="0" borderId="1" xfId="0" applyFont="1" applyBorder="1"/>
    <xf numFmtId="0" fontId="10" fillId="0" borderId="0" xfId="0" applyFont="1"/>
    <xf numFmtId="164" fontId="2" fillId="0" borderId="0" xfId="0" applyNumberFormat="1" applyFont="1"/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7" fillId="2" borderId="0" xfId="0" applyFont="1" applyFill="1"/>
    <xf numFmtId="0" fontId="2" fillId="3" borderId="0" xfId="0" applyFont="1" applyFill="1"/>
    <xf numFmtId="164" fontId="2" fillId="4" borderId="0" xfId="0" applyNumberFormat="1" applyFont="1" applyFill="1"/>
    <xf numFmtId="0" fontId="2" fillId="4" borderId="0" xfId="0" applyFont="1" applyFill="1"/>
    <xf numFmtId="0" fontId="0" fillId="4" borderId="0" xfId="0" applyFill="1"/>
    <xf numFmtId="164" fontId="1" fillId="4" borderId="0" xfId="0" applyNumberFormat="1" applyFont="1" applyFill="1"/>
    <xf numFmtId="0" fontId="1" fillId="4" borderId="0" xfId="0" applyFont="1" applyFill="1"/>
    <xf numFmtId="0" fontId="19" fillId="2" borderId="0" xfId="0" applyFont="1" applyFill="1"/>
    <xf numFmtId="0" fontId="22" fillId="2" borderId="0" xfId="0" applyFont="1" applyFill="1"/>
    <xf numFmtId="164" fontId="19" fillId="2" borderId="0" xfId="0" applyNumberFormat="1" applyFont="1" applyFill="1"/>
    <xf numFmtId="0" fontId="22" fillId="2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0" fontId="17" fillId="0" borderId="0" xfId="0" applyFont="1" applyFill="1"/>
    <xf numFmtId="164" fontId="2" fillId="0" borderId="0" xfId="0" applyNumberFormat="1" applyFont="1" applyFill="1"/>
    <xf numFmtId="0" fontId="4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7" fillId="0" borderId="0" xfId="0" applyFont="1" applyFill="1" applyBorder="1"/>
    <xf numFmtId="164" fontId="2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164" fontId="17" fillId="0" borderId="0" xfId="0" applyNumberFormat="1" applyFont="1" applyFill="1" applyBorder="1"/>
    <xf numFmtId="0" fontId="2" fillId="0" borderId="0" xfId="0" applyFont="1" applyFill="1" applyAlignment="1">
      <alignment horizontal="center" vertical="center"/>
    </xf>
    <xf numFmtId="164" fontId="18" fillId="0" borderId="0" xfId="0" applyNumberFormat="1" applyFont="1" applyFill="1" applyBorder="1"/>
    <xf numFmtId="0" fontId="18" fillId="0" borderId="0" xfId="0" applyFont="1" applyFill="1" applyBorder="1"/>
    <xf numFmtId="0" fontId="9" fillId="0" borderId="0" xfId="0" applyFont="1" applyFill="1" applyBorder="1"/>
    <xf numFmtId="0" fontId="19" fillId="0" borderId="0" xfId="0" applyFont="1" applyFill="1" applyBorder="1"/>
    <xf numFmtId="0" fontId="22" fillId="0" borderId="0" xfId="0" applyFont="1" applyFill="1" applyAlignment="1">
      <alignment horizontal="right"/>
    </xf>
    <xf numFmtId="164" fontId="18" fillId="0" borderId="0" xfId="0" applyNumberFormat="1" applyFont="1" applyFill="1"/>
    <xf numFmtId="0" fontId="19" fillId="0" borderId="0" xfId="0" applyFont="1" applyFill="1"/>
    <xf numFmtId="0" fontId="18" fillId="0" borderId="0" xfId="0" applyFont="1" applyFill="1"/>
    <xf numFmtId="0" fontId="22" fillId="0" borderId="0" xfId="0" applyFont="1" applyFill="1"/>
    <xf numFmtId="164" fontId="22" fillId="0" borderId="0" xfId="0" applyNumberFormat="1" applyFont="1" applyFill="1"/>
    <xf numFmtId="164" fontId="19" fillId="0" borderId="0" xfId="0" applyNumberFormat="1" applyFont="1" applyFill="1"/>
    <xf numFmtId="0" fontId="6" fillId="0" borderId="0" xfId="0" applyFont="1" applyAlignment="1">
      <alignment horizontal="left" wrapText="1" readingOrder="1"/>
    </xf>
    <xf numFmtId="0" fontId="6" fillId="0" borderId="0" xfId="0" applyFont="1" applyAlignment="1">
      <alignment horizontal="right" wrapText="1" indent="1" readingOrder="1"/>
    </xf>
    <xf numFmtId="0" fontId="6" fillId="0" borderId="0" xfId="0" applyFont="1" applyAlignment="1">
      <alignment horizontal="left" readingOrder="1"/>
    </xf>
    <xf numFmtId="0" fontId="2" fillId="0" borderId="0" xfId="0" applyFont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4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9" fillId="3" borderId="0" xfId="0" applyFont="1" applyFill="1"/>
    <xf numFmtId="0" fontId="18" fillId="3" borderId="0" xfId="0" applyFont="1" applyFill="1"/>
    <xf numFmtId="164" fontId="19" fillId="3" borderId="0" xfId="0" applyNumberFormat="1" applyFont="1" applyFill="1"/>
    <xf numFmtId="0" fontId="18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164" fontId="2" fillId="4" borderId="3" xfId="0" applyNumberFormat="1" applyFont="1" applyFill="1" applyBorder="1"/>
    <xf numFmtId="0" fontId="2" fillId="4" borderId="4" xfId="0" applyFont="1" applyFill="1" applyBorder="1"/>
    <xf numFmtId="164" fontId="19" fillId="0" borderId="0" xfId="0" applyNumberFormat="1" applyFont="1"/>
    <xf numFmtId="0" fontId="19" fillId="0" borderId="0" xfId="0" applyFont="1"/>
    <xf numFmtId="1" fontId="2" fillId="0" borderId="0" xfId="0" applyNumberFormat="1" applyFont="1"/>
    <xf numFmtId="1" fontId="19" fillId="0" borderId="0" xfId="0" applyNumberFormat="1" applyFont="1"/>
    <xf numFmtId="164" fontId="2" fillId="0" borderId="3" xfId="0" applyNumberFormat="1" applyFont="1" applyBorder="1"/>
    <xf numFmtId="0" fontId="2" fillId="0" borderId="4" xfId="0" applyFont="1" applyBorder="1"/>
    <xf numFmtId="1" fontId="19" fillId="2" borderId="0" xfId="0" applyNumberFormat="1" applyFont="1" applyFill="1"/>
    <xf numFmtId="1" fontId="2" fillId="0" borderId="1" xfId="0" applyNumberFormat="1" applyFont="1" applyFill="1" applyBorder="1"/>
    <xf numFmtId="0" fontId="0" fillId="2" borderId="0" xfId="0" applyFill="1"/>
    <xf numFmtId="165" fontId="19" fillId="2" borderId="0" xfId="1" applyNumberFormat="1" applyFont="1" applyFill="1"/>
    <xf numFmtId="164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10" fillId="0" borderId="0" xfId="0" applyNumberFormat="1" applyFont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10" fillId="0" borderId="0" xfId="0" applyNumberFormat="1" applyFon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6B77-DB72-4438-A37A-0C281EEC37E4}">
  <dimension ref="A1:C16"/>
  <sheetViews>
    <sheetView zoomScale="166" zoomScaleNormal="166" workbookViewId="0">
      <selection activeCell="C11" sqref="C11"/>
    </sheetView>
  </sheetViews>
  <sheetFormatPr defaultRowHeight="15" x14ac:dyDescent="0.25"/>
  <cols>
    <col min="1" max="1" width="9.5703125" customWidth="1"/>
    <col min="2" max="2" width="15.7109375" customWidth="1"/>
    <col min="3" max="3" width="11.28515625" bestFit="1" customWidth="1"/>
  </cols>
  <sheetData>
    <row r="1" spans="1:3" ht="15.75" x14ac:dyDescent="0.25">
      <c r="A1" s="48" t="s">
        <v>73</v>
      </c>
      <c r="C1" s="46" t="s">
        <v>6</v>
      </c>
    </row>
    <row r="2" spans="1:3" ht="15.75" x14ac:dyDescent="0.25">
      <c r="B2" s="46" t="s">
        <v>60</v>
      </c>
      <c r="C2" s="47">
        <v>-110</v>
      </c>
    </row>
    <row r="3" spans="1:3" ht="17.25" x14ac:dyDescent="0.3">
      <c r="B3" s="46" t="s">
        <v>62</v>
      </c>
      <c r="C3" s="47">
        <v>-394</v>
      </c>
    </row>
    <row r="4" spans="1:3" ht="17.25" x14ac:dyDescent="0.3">
      <c r="B4" s="46" t="s">
        <v>63</v>
      </c>
      <c r="C4" s="47">
        <v>-75</v>
      </c>
    </row>
    <row r="5" spans="1:3" ht="17.25" x14ac:dyDescent="0.3">
      <c r="B5" s="46" t="s">
        <v>64</v>
      </c>
      <c r="C5" s="47">
        <v>227</v>
      </c>
    </row>
    <row r="6" spans="1:3" ht="17.25" x14ac:dyDescent="0.3">
      <c r="B6" s="46" t="s">
        <v>65</v>
      </c>
      <c r="C6" s="47">
        <v>52</v>
      </c>
    </row>
    <row r="7" spans="1:3" ht="17.25" x14ac:dyDescent="0.3">
      <c r="B7" s="46" t="s">
        <v>66</v>
      </c>
      <c r="C7" s="47">
        <v>-85</v>
      </c>
    </row>
    <row r="8" spans="1:3" ht="17.25" x14ac:dyDescent="0.3">
      <c r="B8" s="46" t="s">
        <v>67</v>
      </c>
      <c r="C8" s="47">
        <v>-104</v>
      </c>
    </row>
    <row r="9" spans="1:3" ht="17.25" x14ac:dyDescent="0.3">
      <c r="B9" s="46" t="s">
        <v>68</v>
      </c>
      <c r="C9" s="47">
        <v>-126</v>
      </c>
    </row>
    <row r="10" spans="1:3" ht="15.75" customHeight="1" x14ac:dyDescent="0.3">
      <c r="B10" s="46" t="s">
        <v>74</v>
      </c>
      <c r="C10" s="47">
        <v>-242</v>
      </c>
    </row>
    <row r="11" spans="1:3" ht="18" customHeight="1" x14ac:dyDescent="0.3">
      <c r="B11" s="46" t="s">
        <v>69</v>
      </c>
      <c r="C11" s="47">
        <v>-286</v>
      </c>
    </row>
    <row r="12" spans="1:3" ht="17.25" x14ac:dyDescent="0.3">
      <c r="B12" s="46" t="s">
        <v>70</v>
      </c>
      <c r="C12" s="47">
        <v>-46</v>
      </c>
    </row>
    <row r="13" spans="1:3" ht="15.75" x14ac:dyDescent="0.25">
      <c r="B13" s="46" t="s">
        <v>61</v>
      </c>
      <c r="C13" s="47">
        <v>90</v>
      </c>
    </row>
    <row r="14" spans="1:3" ht="17.25" x14ac:dyDescent="0.3">
      <c r="B14" s="46" t="s">
        <v>80</v>
      </c>
      <c r="C14" s="47">
        <v>33</v>
      </c>
    </row>
    <row r="15" spans="1:3" ht="17.25" x14ac:dyDescent="0.3">
      <c r="B15" s="46" t="s">
        <v>71</v>
      </c>
      <c r="C15" s="47">
        <v>82</v>
      </c>
    </row>
    <row r="16" spans="1:3" ht="17.25" x14ac:dyDescent="0.3">
      <c r="B16" s="46" t="s">
        <v>72</v>
      </c>
      <c r="C16" s="47">
        <v>-174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DE848-A82B-4936-9DEB-8572DDE3C5D3}">
  <dimension ref="A1:P37"/>
  <sheetViews>
    <sheetView topLeftCell="A4" workbookViewId="0">
      <selection activeCell="E44" sqref="E44"/>
    </sheetView>
  </sheetViews>
  <sheetFormatPr defaultRowHeight="15" x14ac:dyDescent="0.25"/>
  <cols>
    <col min="2" max="2" width="10" customWidth="1"/>
    <col min="3" max="3" width="10.7109375" customWidth="1"/>
  </cols>
  <sheetData>
    <row r="1" spans="1:16" ht="15.7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5.75" x14ac:dyDescent="0.25">
      <c r="A2" s="3" t="s">
        <v>1</v>
      </c>
      <c r="B2" s="2"/>
      <c r="C2" s="2"/>
      <c r="D2" s="2"/>
      <c r="E2" s="2"/>
    </row>
    <row r="3" spans="1:16" ht="15.75" x14ac:dyDescent="0.25">
      <c r="A3" s="3" t="s">
        <v>2</v>
      </c>
      <c r="B3" s="2"/>
      <c r="C3" s="2"/>
      <c r="D3" s="2"/>
      <c r="E3" s="2"/>
      <c r="I3" s="6" t="s">
        <v>13</v>
      </c>
    </row>
    <row r="4" spans="1:16" ht="15.75" x14ac:dyDescent="0.25">
      <c r="A4" s="25"/>
      <c r="B4" s="25"/>
      <c r="C4" s="25"/>
      <c r="D4" s="25"/>
      <c r="E4" s="25"/>
      <c r="F4" s="26"/>
      <c r="G4" s="26"/>
      <c r="H4" s="26"/>
      <c r="I4" s="25"/>
      <c r="J4" s="25"/>
      <c r="K4" s="25"/>
      <c r="L4" s="25"/>
      <c r="M4" s="25"/>
      <c r="N4" s="26"/>
    </row>
    <row r="5" spans="1:16" ht="15.75" x14ac:dyDescent="0.25">
      <c r="A5" s="85"/>
      <c r="B5" s="85"/>
      <c r="C5" s="85"/>
      <c r="D5" s="85"/>
      <c r="E5" s="25"/>
      <c r="F5" s="26"/>
      <c r="G5" s="26"/>
      <c r="H5" s="26"/>
      <c r="I5" s="85"/>
      <c r="J5" s="85"/>
      <c r="K5" s="85"/>
      <c r="L5" s="85"/>
      <c r="M5" s="25"/>
      <c r="N5" s="26"/>
    </row>
    <row r="6" spans="1:16" ht="15.75" x14ac:dyDescent="0.25">
      <c r="A6" s="26"/>
      <c r="B6" s="26"/>
      <c r="C6" s="26"/>
      <c r="D6" s="26"/>
      <c r="E6" s="25"/>
      <c r="F6" s="26"/>
      <c r="G6" s="26"/>
      <c r="H6" s="26"/>
      <c r="I6" s="26"/>
      <c r="J6" s="26"/>
      <c r="K6" s="26"/>
      <c r="L6" s="26"/>
      <c r="M6" s="26"/>
      <c r="N6" s="26"/>
    </row>
    <row r="7" spans="1:16" ht="15.75" x14ac:dyDescent="0.25">
      <c r="A7" s="27"/>
      <c r="B7" s="25"/>
      <c r="C7" s="25"/>
      <c r="D7" s="25"/>
      <c r="E7" s="25"/>
      <c r="F7" s="26"/>
      <c r="G7" s="26"/>
      <c r="H7" s="26"/>
      <c r="I7" s="27"/>
      <c r="J7" s="25"/>
      <c r="K7" s="25"/>
      <c r="L7" s="25"/>
      <c r="M7" s="25"/>
      <c r="N7" s="26"/>
    </row>
    <row r="8" spans="1:16" ht="15.75" x14ac:dyDescent="0.25">
      <c r="A8" s="27"/>
      <c r="B8" s="25"/>
      <c r="C8" s="25"/>
      <c r="D8" s="25"/>
      <c r="E8" s="25"/>
      <c r="F8" s="26"/>
      <c r="G8" s="26"/>
      <c r="H8" s="26"/>
      <c r="I8" s="27"/>
      <c r="J8" s="25"/>
      <c r="K8" s="25"/>
      <c r="L8" s="25"/>
      <c r="M8" s="25"/>
      <c r="N8" s="26"/>
    </row>
    <row r="9" spans="1:16" ht="15.75" x14ac:dyDescent="0.25">
      <c r="A9" s="25"/>
      <c r="B9" s="25"/>
      <c r="C9" s="25"/>
      <c r="D9" s="25"/>
      <c r="E9" s="25"/>
      <c r="F9" s="26"/>
      <c r="G9" s="26"/>
      <c r="H9" s="26"/>
      <c r="I9" s="25"/>
      <c r="J9" s="25"/>
      <c r="K9" s="25"/>
      <c r="L9" s="25"/>
      <c r="M9" s="25"/>
      <c r="N9" s="26"/>
    </row>
    <row r="10" spans="1:16" ht="15.75" x14ac:dyDescent="0.25">
      <c r="A10" s="25"/>
      <c r="B10" s="25"/>
      <c r="C10" s="25"/>
      <c r="D10" s="25"/>
      <c r="E10" s="25"/>
      <c r="F10" s="28"/>
      <c r="G10" s="26"/>
      <c r="H10" s="26"/>
      <c r="I10" s="25"/>
      <c r="J10" s="25"/>
      <c r="K10" s="25"/>
      <c r="L10" s="25"/>
      <c r="M10" s="25"/>
      <c r="N10" s="28"/>
    </row>
    <row r="11" spans="1:16" ht="15.75" x14ac:dyDescent="0.2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6" ht="15.75" x14ac:dyDescent="0.25">
      <c r="A12" s="29"/>
      <c r="B12" s="29"/>
      <c r="C12" s="30"/>
      <c r="D12" s="28"/>
      <c r="E12" s="26"/>
      <c r="F12" s="26"/>
      <c r="G12" s="26"/>
      <c r="H12" s="26"/>
      <c r="I12" s="29"/>
      <c r="J12" s="29"/>
      <c r="K12" s="31"/>
      <c r="L12" s="32"/>
      <c r="M12" s="32"/>
      <c r="N12" s="32"/>
    </row>
    <row r="13" spans="1:16" x14ac:dyDescent="0.25">
      <c r="A13" s="26"/>
      <c r="B13" s="26"/>
      <c r="C13" s="33"/>
      <c r="D13" s="26"/>
      <c r="E13" s="26"/>
      <c r="F13" s="26"/>
      <c r="G13" s="26"/>
      <c r="H13" s="26"/>
      <c r="I13" s="26"/>
      <c r="J13" s="26"/>
      <c r="K13" s="33"/>
      <c r="L13" s="26"/>
      <c r="M13" s="26"/>
      <c r="N13" s="26"/>
    </row>
    <row r="14" spans="1:16" ht="18.75" x14ac:dyDescent="0.25">
      <c r="A14" s="6" t="s">
        <v>12</v>
      </c>
      <c r="B14" s="6"/>
      <c r="C14" s="6"/>
      <c r="D14" s="6"/>
      <c r="E14" s="6"/>
      <c r="I14" s="6" t="s">
        <v>16</v>
      </c>
    </row>
    <row r="15" spans="1:16" ht="15.75" x14ac:dyDescent="0.25">
      <c r="A15" s="25"/>
      <c r="B15" s="25"/>
      <c r="C15" s="25"/>
      <c r="D15" s="25"/>
      <c r="E15" s="25"/>
      <c r="F15" s="26"/>
      <c r="G15" s="26"/>
      <c r="H15" s="26"/>
      <c r="I15" s="25"/>
      <c r="J15" s="25"/>
      <c r="K15" s="25"/>
      <c r="L15" s="25"/>
      <c r="M15" s="25"/>
      <c r="N15" s="26"/>
      <c r="O15" s="26"/>
    </row>
    <row r="16" spans="1:16" ht="15.75" x14ac:dyDescent="0.25">
      <c r="A16" s="85"/>
      <c r="B16" s="85"/>
      <c r="C16" s="85"/>
      <c r="D16" s="85"/>
      <c r="E16" s="25"/>
      <c r="F16" s="26"/>
      <c r="G16" s="26"/>
      <c r="H16" s="26"/>
      <c r="I16" s="85"/>
      <c r="J16" s="85"/>
      <c r="K16" s="85"/>
      <c r="L16" s="85"/>
      <c r="M16" s="25"/>
      <c r="N16" s="26"/>
      <c r="O16" s="26"/>
    </row>
    <row r="17" spans="1: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5.75" x14ac:dyDescent="0.25">
      <c r="A18" s="27"/>
      <c r="B18" s="25"/>
      <c r="C18" s="25"/>
      <c r="D18" s="25"/>
      <c r="E18" s="25"/>
      <c r="F18" s="26"/>
      <c r="G18" s="26"/>
      <c r="H18" s="26"/>
      <c r="I18" s="27"/>
      <c r="J18" s="25"/>
      <c r="K18" s="25"/>
      <c r="L18" s="25"/>
      <c r="M18" s="25"/>
      <c r="N18" s="26"/>
      <c r="O18" s="26"/>
    </row>
    <row r="19" spans="1:15" ht="15.75" x14ac:dyDescent="0.25">
      <c r="A19" s="27"/>
      <c r="B19" s="25"/>
      <c r="C19" s="25"/>
      <c r="D19" s="25"/>
      <c r="E19" s="25"/>
      <c r="F19" s="26"/>
      <c r="G19" s="26"/>
      <c r="H19" s="26"/>
      <c r="I19" s="27"/>
      <c r="J19" s="25"/>
      <c r="K19" s="25"/>
      <c r="L19" s="25"/>
      <c r="M19" s="25"/>
      <c r="N19" s="26"/>
      <c r="O19" s="26"/>
    </row>
    <row r="20" spans="1:15" ht="15.75" x14ac:dyDescent="0.25">
      <c r="A20" s="25"/>
      <c r="B20" s="25"/>
      <c r="C20" s="25"/>
      <c r="D20" s="25"/>
      <c r="E20" s="25"/>
      <c r="F20" s="26"/>
      <c r="G20" s="26"/>
      <c r="H20" s="26"/>
      <c r="I20" s="25"/>
      <c r="J20" s="25"/>
      <c r="K20" s="25"/>
      <c r="L20" s="25"/>
      <c r="M20" s="25"/>
      <c r="N20" s="26"/>
      <c r="O20" s="26"/>
    </row>
    <row r="21" spans="1:15" ht="15.75" x14ac:dyDescent="0.25">
      <c r="A21" s="25"/>
      <c r="B21" s="25"/>
      <c r="C21" s="25"/>
      <c r="D21" s="25"/>
      <c r="E21" s="25"/>
      <c r="F21" s="28"/>
      <c r="G21" s="26"/>
      <c r="H21" s="26"/>
      <c r="I21" s="25"/>
      <c r="J21" s="25"/>
      <c r="K21" s="25"/>
      <c r="L21" s="25"/>
      <c r="M21" s="25"/>
      <c r="N21" s="28"/>
      <c r="O21" s="26"/>
    </row>
    <row r="22" spans="1:15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5.75" x14ac:dyDescent="0.25">
      <c r="A23" s="29"/>
      <c r="B23" s="29"/>
      <c r="C23" s="30"/>
      <c r="D23" s="28"/>
      <c r="E23" s="28"/>
      <c r="F23" s="28"/>
      <c r="G23" s="26"/>
      <c r="H23" s="26"/>
      <c r="I23" s="29"/>
      <c r="J23" s="29"/>
      <c r="K23" s="30"/>
      <c r="L23" s="28"/>
      <c r="M23" s="28"/>
      <c r="N23" s="28"/>
      <c r="O23" s="26"/>
    </row>
    <row r="24" spans="1:15" x14ac:dyDescent="0.25">
      <c r="A24" s="26"/>
      <c r="B24" s="26"/>
      <c r="C24" s="33"/>
      <c r="D24" s="26"/>
      <c r="E24" s="26"/>
      <c r="F24" s="26"/>
      <c r="G24" s="26"/>
      <c r="H24" s="26"/>
      <c r="I24" s="26"/>
      <c r="J24" s="26"/>
      <c r="K24" s="33"/>
      <c r="L24" s="26"/>
      <c r="M24" s="26"/>
      <c r="N24" s="26"/>
      <c r="O24" s="26"/>
    </row>
    <row r="25" spans="1:15" ht="18.75" x14ac:dyDescent="0.25">
      <c r="A25" s="3" t="s">
        <v>17</v>
      </c>
    </row>
    <row r="26" spans="1:15" ht="20.25" x14ac:dyDescent="0.35">
      <c r="A26" s="8" t="s">
        <v>18</v>
      </c>
      <c r="B26" s="8" t="s">
        <v>19</v>
      </c>
      <c r="I26" s="8" t="s">
        <v>20</v>
      </c>
      <c r="J26" s="8" t="s">
        <v>21</v>
      </c>
    </row>
    <row r="27" spans="1:15" ht="15.75" x14ac:dyDescent="0.25">
      <c r="A27" s="83"/>
      <c r="B27" s="83"/>
      <c r="C27" s="83"/>
      <c r="D27" s="83"/>
      <c r="E27" s="22"/>
      <c r="F27" s="22"/>
      <c r="G27" s="22"/>
      <c r="H27" s="21"/>
      <c r="I27" s="83"/>
      <c r="J27" s="83"/>
      <c r="K27" s="83"/>
      <c r="L27" s="83"/>
      <c r="M27" s="22"/>
      <c r="N27" s="22"/>
      <c r="O27" s="21"/>
    </row>
    <row r="29" spans="1:15" ht="18.75" x14ac:dyDescent="0.25">
      <c r="A29" s="8" t="s">
        <v>23</v>
      </c>
      <c r="B29" s="8" t="s">
        <v>24</v>
      </c>
      <c r="C29" s="8"/>
      <c r="D29" s="8"/>
      <c r="E29" s="8"/>
      <c r="I29" s="8" t="s">
        <v>27</v>
      </c>
      <c r="J29" s="8" t="s">
        <v>28</v>
      </c>
      <c r="K29" s="8"/>
      <c r="L29" s="8"/>
    </row>
    <row r="30" spans="1:15" ht="15.75" x14ac:dyDescent="0.25">
      <c r="A30" s="83"/>
      <c r="B30" s="83"/>
      <c r="C30" s="83"/>
      <c r="D30" s="83"/>
      <c r="E30" s="21"/>
      <c r="F30" s="21"/>
      <c r="G30" s="21"/>
      <c r="H30" s="21"/>
      <c r="I30" s="83"/>
      <c r="J30" s="83"/>
      <c r="K30" s="83"/>
      <c r="L30" s="83"/>
      <c r="M30" s="21"/>
      <c r="N30" s="21"/>
      <c r="O30" s="21"/>
    </row>
    <row r="31" spans="1:1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ht="15.75" x14ac:dyDescent="0.25">
      <c r="A32" s="21"/>
      <c r="B32" s="22"/>
      <c r="C32" s="22"/>
      <c r="D32" s="22"/>
      <c r="E32" s="22"/>
      <c r="F32" s="22"/>
      <c r="G32" s="21"/>
      <c r="H32" s="21"/>
      <c r="I32" s="22"/>
      <c r="J32" s="22"/>
      <c r="K32" s="22"/>
      <c r="L32" s="34"/>
      <c r="M32" s="22"/>
      <c r="N32" s="22"/>
      <c r="O32" s="22"/>
    </row>
    <row r="33" spans="1:15" ht="15.75" x14ac:dyDescent="0.25">
      <c r="A33" s="21"/>
      <c r="B33" s="24"/>
      <c r="C33" s="22"/>
      <c r="D33" s="22"/>
      <c r="E33" s="22"/>
      <c r="F33" s="22"/>
      <c r="G33" s="21"/>
      <c r="H33" s="21"/>
      <c r="I33" s="22"/>
      <c r="J33" s="22"/>
      <c r="K33" s="22"/>
      <c r="L33" s="34"/>
      <c r="M33" s="22"/>
      <c r="N33" s="22"/>
      <c r="O33" s="22"/>
    </row>
    <row r="34" spans="1:15" ht="15.75" x14ac:dyDescent="0.25">
      <c r="A34" s="21"/>
      <c r="B34" s="21"/>
      <c r="C34" s="21"/>
      <c r="D34" s="21"/>
      <c r="E34" s="21"/>
      <c r="F34" s="21"/>
      <c r="G34" s="21"/>
      <c r="H34" s="21"/>
      <c r="I34" s="22"/>
      <c r="J34" s="22"/>
      <c r="K34" s="22"/>
      <c r="L34" s="34"/>
      <c r="M34" s="22"/>
      <c r="N34" s="22"/>
      <c r="O34" s="22"/>
    </row>
    <row r="35" spans="1:15" ht="15.75" x14ac:dyDescent="0.25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34"/>
      <c r="M35" s="22"/>
      <c r="N35" s="22"/>
      <c r="O35" s="21"/>
    </row>
    <row r="36" spans="1:15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ht="15.75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2"/>
      <c r="N37" s="21"/>
      <c r="O37" s="21"/>
    </row>
  </sheetData>
  <mergeCells count="9">
    <mergeCell ref="A30:D30"/>
    <mergeCell ref="I30:L30"/>
    <mergeCell ref="A1:P1"/>
    <mergeCell ref="A5:D5"/>
    <mergeCell ref="I5:L5"/>
    <mergeCell ref="A16:D16"/>
    <mergeCell ref="I16:L16"/>
    <mergeCell ref="A27:D27"/>
    <mergeCell ref="I27:L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707A-E9E4-4847-BF51-9C1E87AE4173}">
  <dimension ref="A1:P36"/>
  <sheetViews>
    <sheetView view="pageBreakPreview" zoomScale="160" zoomScaleNormal="130" zoomScaleSheetLayoutView="160" workbookViewId="0">
      <selection activeCell="M36" sqref="M36"/>
    </sheetView>
  </sheetViews>
  <sheetFormatPr defaultRowHeight="15" x14ac:dyDescent="0.25"/>
  <cols>
    <col min="2" max="2" width="10" customWidth="1"/>
    <col min="3" max="3" width="15" customWidth="1"/>
    <col min="8" max="8" width="4.42578125" customWidth="1"/>
    <col min="11" max="11" width="10.140625" customWidth="1"/>
  </cols>
  <sheetData>
    <row r="1" spans="1:16" ht="15.7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5.75" x14ac:dyDescent="0.25">
      <c r="A2" s="3" t="s">
        <v>1</v>
      </c>
      <c r="B2" s="2"/>
      <c r="C2" s="2"/>
      <c r="D2" s="2"/>
      <c r="E2" s="2"/>
    </row>
    <row r="3" spans="1:16" ht="15.75" x14ac:dyDescent="0.25">
      <c r="A3" s="3" t="s">
        <v>2</v>
      </c>
      <c r="B3" s="2"/>
      <c r="C3" s="2"/>
      <c r="D3" s="2"/>
      <c r="E3" s="2"/>
      <c r="I3" s="6" t="s">
        <v>13</v>
      </c>
    </row>
    <row r="4" spans="1:16" ht="18.75" x14ac:dyDescent="0.35">
      <c r="A4" s="2" t="s">
        <v>4</v>
      </c>
      <c r="B4" s="2"/>
      <c r="C4" s="2" t="s">
        <v>11</v>
      </c>
      <c r="D4" s="2">
        <v>30</v>
      </c>
      <c r="E4" s="2" t="s">
        <v>3</v>
      </c>
      <c r="I4" s="2" t="s">
        <v>4</v>
      </c>
      <c r="J4" s="2"/>
      <c r="K4" s="2" t="s">
        <v>11</v>
      </c>
      <c r="L4" s="2">
        <v>30</v>
      </c>
      <c r="M4" s="2" t="s">
        <v>3</v>
      </c>
    </row>
    <row r="5" spans="1:16" ht="18.75" x14ac:dyDescent="0.35">
      <c r="A5" s="86" t="s">
        <v>5</v>
      </c>
      <c r="B5" s="86"/>
      <c r="C5" s="86"/>
      <c r="D5" s="86"/>
      <c r="E5" s="2"/>
      <c r="I5" s="86" t="s">
        <v>14</v>
      </c>
      <c r="J5" s="86"/>
      <c r="K5" s="86"/>
      <c r="L5" s="86"/>
      <c r="M5" s="2"/>
    </row>
    <row r="6" spans="1:16" ht="15.75" x14ac:dyDescent="0.25">
      <c r="E6" s="2"/>
    </row>
    <row r="7" spans="1:16" ht="18.75" x14ac:dyDescent="0.35">
      <c r="A7" s="4" t="s">
        <v>15</v>
      </c>
      <c r="B7" s="2">
        <f>adatok!C3</f>
        <v>-394</v>
      </c>
      <c r="C7" s="2" t="s">
        <v>6</v>
      </c>
      <c r="D7" s="2"/>
      <c r="E7" s="2">
        <f>4*B7</f>
        <v>-1576</v>
      </c>
      <c r="F7" s="2" t="s">
        <v>81</v>
      </c>
      <c r="I7" s="4" t="s">
        <v>15</v>
      </c>
      <c r="J7" s="2">
        <f>B7</f>
        <v>-394</v>
      </c>
      <c r="K7" s="2" t="s">
        <v>6</v>
      </c>
      <c r="L7" s="2"/>
      <c r="M7" s="2">
        <f>4*J7</f>
        <v>-1576</v>
      </c>
    </row>
    <row r="8" spans="1:16" ht="18.75" x14ac:dyDescent="0.35">
      <c r="A8" s="4" t="s">
        <v>7</v>
      </c>
      <c r="B8" s="2">
        <f>adatok!C10</f>
        <v>-242</v>
      </c>
      <c r="C8" s="2" t="s">
        <v>6</v>
      </c>
      <c r="D8" s="2"/>
      <c r="E8" s="2">
        <f>6*B8</f>
        <v>-1452</v>
      </c>
      <c r="F8" s="2" t="s">
        <v>82</v>
      </c>
      <c r="I8" s="4" t="s">
        <v>7</v>
      </c>
      <c r="J8" s="2">
        <f>adatok!C11</f>
        <v>-286</v>
      </c>
      <c r="K8" s="2" t="s">
        <v>6</v>
      </c>
      <c r="L8" s="2"/>
      <c r="M8" s="2">
        <f>6*J8</f>
        <v>-1716</v>
      </c>
    </row>
    <row r="9" spans="1:16" ht="18.75" x14ac:dyDescent="0.35">
      <c r="A9" s="5" t="s">
        <v>88</v>
      </c>
      <c r="B9" s="5"/>
      <c r="C9" s="5"/>
      <c r="D9" s="5">
        <f>-adatok!C7</f>
        <v>85</v>
      </c>
      <c r="E9" s="5">
        <f>2*D9</f>
        <v>170</v>
      </c>
      <c r="F9" s="2" t="s">
        <v>83</v>
      </c>
      <c r="I9" s="5" t="s">
        <v>8</v>
      </c>
      <c r="J9" s="5"/>
      <c r="K9" s="5"/>
      <c r="L9" s="5">
        <f>D9</f>
        <v>85</v>
      </c>
      <c r="M9" s="5">
        <f>2*L9</f>
        <v>170</v>
      </c>
    </row>
    <row r="10" spans="1:16" ht="15.75" x14ac:dyDescent="0.25">
      <c r="A10" s="2" t="s">
        <v>9</v>
      </c>
      <c r="B10" s="2"/>
      <c r="C10" s="2"/>
      <c r="D10" s="2"/>
      <c r="E10" s="2">
        <f>SUM(E7:E9)</f>
        <v>-2858</v>
      </c>
      <c r="F10" s="1" t="s">
        <v>6</v>
      </c>
      <c r="I10" s="2" t="s">
        <v>9</v>
      </c>
      <c r="J10" s="2"/>
      <c r="K10" s="2"/>
      <c r="L10" s="2"/>
      <c r="M10" s="2">
        <f>SUM(M7:M9)</f>
        <v>-3122</v>
      </c>
      <c r="N10" s="1" t="s">
        <v>6</v>
      </c>
    </row>
    <row r="11" spans="1:16" ht="15.75" x14ac:dyDescent="0.25">
      <c r="A11" s="2"/>
    </row>
    <row r="12" spans="1:16" ht="15.75" x14ac:dyDescent="0.25">
      <c r="A12" s="10" t="s">
        <v>50</v>
      </c>
      <c r="B12" s="10"/>
      <c r="C12" s="12">
        <f>E10/(2*D4)</f>
        <v>-47.633333333333333</v>
      </c>
      <c r="D12" s="13" t="s">
        <v>84</v>
      </c>
      <c r="E12" s="14"/>
      <c r="F12" s="14"/>
      <c r="I12" s="10" t="s">
        <v>50</v>
      </c>
      <c r="J12" s="10"/>
      <c r="K12" s="15">
        <f>M10/(2*L4)</f>
        <v>-52.033333333333331</v>
      </c>
      <c r="L12" s="16" t="s">
        <v>85</v>
      </c>
      <c r="M12" s="16"/>
      <c r="N12" s="16"/>
    </row>
    <row r="14" spans="1:16" ht="18.75" x14ac:dyDescent="0.25">
      <c r="A14" s="6" t="s">
        <v>12</v>
      </c>
      <c r="B14" s="6"/>
      <c r="C14" s="6"/>
      <c r="D14" s="6"/>
      <c r="E14" s="6"/>
      <c r="I14" s="6" t="s">
        <v>16</v>
      </c>
    </row>
    <row r="15" spans="1:16" ht="18.75" x14ac:dyDescent="0.35">
      <c r="A15" s="2" t="s">
        <v>4</v>
      </c>
      <c r="B15" s="2"/>
      <c r="C15" s="2" t="s">
        <v>86</v>
      </c>
      <c r="D15" s="2">
        <v>24</v>
      </c>
      <c r="E15" s="2" t="s">
        <v>87</v>
      </c>
      <c r="I15" s="2" t="s">
        <v>4</v>
      </c>
      <c r="J15" s="2"/>
      <c r="K15" s="2" t="s">
        <v>86</v>
      </c>
      <c r="L15" s="2">
        <v>24</v>
      </c>
      <c r="M15" s="2" t="s">
        <v>87</v>
      </c>
    </row>
    <row r="16" spans="1:16" ht="18.75" x14ac:dyDescent="0.35">
      <c r="A16" s="86" t="s">
        <v>5</v>
      </c>
      <c r="B16" s="86"/>
      <c r="C16" s="86"/>
      <c r="D16" s="86"/>
      <c r="E16" s="2"/>
      <c r="I16" s="86" t="s">
        <v>14</v>
      </c>
      <c r="J16" s="86"/>
      <c r="K16" s="86"/>
      <c r="L16" s="86"/>
      <c r="M16" s="2"/>
    </row>
    <row r="18" spans="1:15" ht="18.75" x14ac:dyDescent="0.35">
      <c r="A18" s="4" t="s">
        <v>15</v>
      </c>
      <c r="B18" s="2">
        <f>B7</f>
        <v>-394</v>
      </c>
      <c r="C18" s="2" t="s">
        <v>6</v>
      </c>
      <c r="D18" s="2"/>
      <c r="E18" s="2">
        <f>4*B18</f>
        <v>-1576</v>
      </c>
      <c r="I18" s="4" t="s">
        <v>15</v>
      </c>
      <c r="J18" s="2">
        <f>J7</f>
        <v>-394</v>
      </c>
      <c r="K18" s="2" t="s">
        <v>6</v>
      </c>
      <c r="L18" s="2"/>
      <c r="M18" s="2">
        <f>4*J18</f>
        <v>-1576</v>
      </c>
    </row>
    <row r="19" spans="1:15" ht="18.75" x14ac:dyDescent="0.35">
      <c r="A19" s="4" t="s">
        <v>7</v>
      </c>
      <c r="B19" s="2">
        <f>B8</f>
        <v>-242</v>
      </c>
      <c r="C19" s="2" t="s">
        <v>6</v>
      </c>
      <c r="D19" s="2"/>
      <c r="E19" s="2">
        <f>6*B19</f>
        <v>-1452</v>
      </c>
      <c r="I19" s="4" t="s">
        <v>7</v>
      </c>
      <c r="J19" s="2">
        <f>J8</f>
        <v>-286</v>
      </c>
      <c r="K19" s="2" t="s">
        <v>6</v>
      </c>
      <c r="L19" s="2"/>
      <c r="M19" s="2">
        <f>6*J19</f>
        <v>-1716</v>
      </c>
    </row>
    <row r="20" spans="1:15" ht="18.75" x14ac:dyDescent="0.35">
      <c r="A20" s="5" t="s">
        <v>88</v>
      </c>
      <c r="B20" s="5"/>
      <c r="C20" s="5"/>
      <c r="D20" s="5">
        <f>D9</f>
        <v>85</v>
      </c>
      <c r="E20" s="5">
        <f>2*D20</f>
        <v>170</v>
      </c>
      <c r="I20" s="5" t="s">
        <v>8</v>
      </c>
      <c r="J20" s="5"/>
      <c r="K20" s="5"/>
      <c r="L20" s="5">
        <f>D20</f>
        <v>85</v>
      </c>
      <c r="M20" s="5">
        <f>2*L20</f>
        <v>170</v>
      </c>
    </row>
    <row r="21" spans="1:15" ht="15.75" x14ac:dyDescent="0.25">
      <c r="A21" s="2" t="s">
        <v>9</v>
      </c>
      <c r="B21" s="2"/>
      <c r="C21" s="2"/>
      <c r="D21" s="2"/>
      <c r="E21" s="2">
        <f>SUM(E18:E20)</f>
        <v>-2858</v>
      </c>
      <c r="F21" s="1" t="s">
        <v>6</v>
      </c>
      <c r="I21" s="2" t="s">
        <v>9</v>
      </c>
      <c r="J21" s="2"/>
      <c r="K21" s="2"/>
      <c r="L21" s="2"/>
      <c r="M21" s="2">
        <f>SUM(M18:M20)</f>
        <v>-3122</v>
      </c>
      <c r="N21" s="1" t="s">
        <v>6</v>
      </c>
    </row>
    <row r="23" spans="1:15" ht="18.75" x14ac:dyDescent="0.25">
      <c r="A23" s="10" t="s">
        <v>51</v>
      </c>
      <c r="B23" s="10"/>
      <c r="C23" s="12">
        <f>E21/(2*D15)</f>
        <v>-59.541666666666664</v>
      </c>
      <c r="D23" s="13" t="s">
        <v>89</v>
      </c>
      <c r="E23" s="13"/>
      <c r="F23" s="13"/>
      <c r="I23" s="10" t="s">
        <v>51</v>
      </c>
      <c r="J23" s="10"/>
      <c r="K23" s="12">
        <f>M21/(2*L15)</f>
        <v>-65.041666666666671</v>
      </c>
      <c r="L23" s="13" t="s">
        <v>90</v>
      </c>
      <c r="M23" s="13"/>
      <c r="N23" s="13"/>
    </row>
    <row r="25" spans="1:15" ht="18.75" x14ac:dyDescent="0.25">
      <c r="A25" s="3" t="s">
        <v>17</v>
      </c>
    </row>
    <row r="26" spans="1:15" ht="20.25" x14ac:dyDescent="0.35">
      <c r="A26" s="8" t="s">
        <v>18</v>
      </c>
      <c r="B26" s="8" t="s">
        <v>19</v>
      </c>
      <c r="E26" t="s">
        <v>91</v>
      </c>
      <c r="I26" s="8" t="s">
        <v>20</v>
      </c>
      <c r="J26" s="8" t="s">
        <v>21</v>
      </c>
      <c r="M26" t="s">
        <v>92</v>
      </c>
    </row>
    <row r="27" spans="1:15" ht="20.25" x14ac:dyDescent="0.35">
      <c r="A27" s="86" t="s">
        <v>22</v>
      </c>
      <c r="B27" s="86"/>
      <c r="C27" s="86"/>
      <c r="D27" s="86"/>
      <c r="E27" s="57">
        <f>5*2</f>
        <v>10</v>
      </c>
      <c r="F27" s="57" t="s">
        <v>56</v>
      </c>
      <c r="G27" s="57"/>
      <c r="I27" s="86" t="s">
        <v>22</v>
      </c>
      <c r="J27" s="86"/>
      <c r="K27" s="86"/>
      <c r="L27" s="86"/>
      <c r="M27" s="57">
        <f>5*7/2</f>
        <v>17.5</v>
      </c>
      <c r="N27" s="57" t="s">
        <v>57</v>
      </c>
      <c r="O27" s="58"/>
    </row>
    <row r="29" spans="1:15" ht="18.75" x14ac:dyDescent="0.25">
      <c r="A29" s="8" t="s">
        <v>23</v>
      </c>
      <c r="B29" s="8" t="s">
        <v>24</v>
      </c>
      <c r="C29" s="8"/>
      <c r="D29" s="8"/>
      <c r="E29" s="8"/>
      <c r="I29" s="8" t="s">
        <v>27</v>
      </c>
      <c r="J29" s="8" t="s">
        <v>28</v>
      </c>
      <c r="K29" s="8"/>
      <c r="L29" s="8"/>
    </row>
    <row r="30" spans="1:15" ht="18.75" x14ac:dyDescent="0.35">
      <c r="A30" s="86" t="s">
        <v>22</v>
      </c>
      <c r="B30" s="86"/>
      <c r="C30" s="86"/>
      <c r="D30" s="86"/>
      <c r="I30" s="86" t="s">
        <v>22</v>
      </c>
      <c r="J30" s="86"/>
      <c r="K30" s="86"/>
      <c r="L30" s="86"/>
    </row>
    <row r="32" spans="1:15" ht="20.25" x14ac:dyDescent="0.35">
      <c r="B32" s="1">
        <v>100</v>
      </c>
      <c r="C32" s="1" t="s">
        <v>25</v>
      </c>
      <c r="D32" s="1"/>
      <c r="E32" s="1">
        <v>21</v>
      </c>
      <c r="F32" s="1" t="s">
        <v>26</v>
      </c>
      <c r="I32" s="1"/>
      <c r="J32" s="1" t="s">
        <v>31</v>
      </c>
      <c r="K32" s="1"/>
      <c r="L32" s="9" t="s">
        <v>10</v>
      </c>
      <c r="M32" s="1" t="s">
        <v>30</v>
      </c>
      <c r="N32" s="1" t="s">
        <v>32</v>
      </c>
      <c r="O32" s="1"/>
    </row>
    <row r="33" spans="2:15" ht="20.25" x14ac:dyDescent="0.35">
      <c r="B33" s="59">
        <f>B32*E33/E32</f>
        <v>83.333333333333329</v>
      </c>
      <c r="C33" s="57" t="s">
        <v>93</v>
      </c>
      <c r="D33" s="11"/>
      <c r="E33" s="1">
        <v>17.5</v>
      </c>
      <c r="F33" s="1" t="s">
        <v>26</v>
      </c>
      <c r="I33" s="1"/>
      <c r="J33" s="1"/>
      <c r="K33" s="1"/>
      <c r="L33" s="9"/>
      <c r="M33" s="1">
        <f>3*18</f>
        <v>54</v>
      </c>
      <c r="N33" s="1" t="s">
        <v>29</v>
      </c>
      <c r="O33" s="1"/>
    </row>
    <row r="34" spans="2:15" ht="20.25" x14ac:dyDescent="0.35">
      <c r="I34" s="1"/>
      <c r="J34" s="1">
        <v>24</v>
      </c>
      <c r="K34" s="1" t="s">
        <v>33</v>
      </c>
      <c r="L34" s="9" t="s">
        <v>10</v>
      </c>
      <c r="M34" s="1">
        <f>M33</f>
        <v>54</v>
      </c>
      <c r="N34" s="1" t="s">
        <v>34</v>
      </c>
      <c r="O34" s="1"/>
    </row>
    <row r="35" spans="2:15" ht="20.25" x14ac:dyDescent="0.35">
      <c r="I35" s="1"/>
      <c r="J35" s="1">
        <v>5000</v>
      </c>
      <c r="K35" s="1" t="s">
        <v>33</v>
      </c>
      <c r="L35" s="9" t="s">
        <v>10</v>
      </c>
      <c r="M35" s="1">
        <f>J35*M34/J34</f>
        <v>11250</v>
      </c>
      <c r="N35" s="1" t="s">
        <v>34</v>
      </c>
    </row>
    <row r="36" spans="2:15" ht="15.75" x14ac:dyDescent="0.25">
      <c r="M36" s="57" t="s">
        <v>35</v>
      </c>
      <c r="N36" s="58"/>
      <c r="O36" s="58"/>
    </row>
  </sheetData>
  <mergeCells count="9">
    <mergeCell ref="I30:L30"/>
    <mergeCell ref="A30:D30"/>
    <mergeCell ref="A5:D5"/>
    <mergeCell ref="A1:P1"/>
    <mergeCell ref="I5:L5"/>
    <mergeCell ref="A16:D16"/>
    <mergeCell ref="I16:L16"/>
    <mergeCell ref="A27:D27"/>
    <mergeCell ref="I27:L27"/>
  </mergeCells>
  <phoneticPr fontId="26" type="noConversion"/>
  <pageMargins left="0.25" right="0.25" top="0.75" bottom="0.75" header="0.3" footer="0.3"/>
  <pageSetup paperSize="9" orientation="landscape" horizontalDpi="4294967293" verticalDpi="4294967293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2983C-D282-44B8-9F15-9AB7D7DD897B}">
  <dimension ref="A1:P37"/>
  <sheetViews>
    <sheetView topLeftCell="A16" workbookViewId="0">
      <selection activeCell="M1" sqref="M1"/>
    </sheetView>
  </sheetViews>
  <sheetFormatPr defaultRowHeight="15" x14ac:dyDescent="0.25"/>
  <sheetData>
    <row r="1" spans="1:16" ht="15.75" x14ac:dyDescent="0.25">
      <c r="A1" s="87" t="s">
        <v>36</v>
      </c>
      <c r="B1" s="87"/>
      <c r="D1" s="3" t="s">
        <v>58</v>
      </c>
      <c r="I1" s="3" t="s">
        <v>59</v>
      </c>
      <c r="M1" s="60" t="s">
        <v>94</v>
      </c>
    </row>
    <row r="2" spans="1:16" ht="15.75" x14ac:dyDescent="0.25">
      <c r="A2" s="3" t="s">
        <v>41</v>
      </c>
      <c r="B2" s="2"/>
      <c r="C2" s="2"/>
      <c r="D2" s="2"/>
      <c r="E2" s="2"/>
      <c r="I2" s="6" t="s">
        <v>42</v>
      </c>
    </row>
    <row r="3" spans="1:16" ht="15.75" x14ac:dyDescent="0.25">
      <c r="A3" s="25"/>
      <c r="B3" s="25"/>
      <c r="C3" s="25"/>
      <c r="D3" s="25"/>
      <c r="E3" s="25"/>
      <c r="F3" s="26"/>
      <c r="G3" s="26"/>
      <c r="H3" s="28"/>
      <c r="I3" s="25"/>
      <c r="J3" s="25"/>
      <c r="K3" s="25"/>
      <c r="L3" s="25"/>
      <c r="M3" s="25"/>
      <c r="N3" s="26"/>
      <c r="O3" s="26"/>
      <c r="P3" s="26"/>
    </row>
    <row r="4" spans="1:16" ht="15.75" x14ac:dyDescent="0.25">
      <c r="A4" s="85"/>
      <c r="B4" s="85"/>
      <c r="C4" s="85"/>
      <c r="D4" s="85"/>
      <c r="E4" s="25"/>
      <c r="F4" s="26"/>
      <c r="G4" s="26"/>
      <c r="H4" s="28"/>
      <c r="I4" s="85"/>
      <c r="J4" s="85"/>
      <c r="K4" s="85"/>
      <c r="L4" s="85"/>
      <c r="M4" s="25"/>
      <c r="N4" s="26"/>
      <c r="O4" s="26"/>
      <c r="P4" s="26"/>
    </row>
    <row r="5" spans="1:16" ht="15.75" x14ac:dyDescent="0.25">
      <c r="A5" s="26"/>
      <c r="B5" s="26"/>
      <c r="C5" s="26"/>
      <c r="D5" s="26"/>
      <c r="E5" s="25"/>
      <c r="F5" s="26"/>
      <c r="G5" s="26"/>
      <c r="H5" s="28"/>
      <c r="I5" s="26"/>
      <c r="J5" s="26"/>
      <c r="K5" s="26"/>
      <c r="L5" s="26"/>
      <c r="M5" s="25"/>
      <c r="N5" s="26"/>
      <c r="O5" s="26"/>
      <c r="P5" s="26"/>
    </row>
    <row r="6" spans="1:16" ht="15.75" x14ac:dyDescent="0.25">
      <c r="A6" s="27"/>
      <c r="B6" s="25"/>
      <c r="C6" s="25"/>
      <c r="D6" s="25"/>
      <c r="E6" s="25"/>
      <c r="F6" s="26"/>
      <c r="G6" s="26"/>
      <c r="H6" s="28"/>
      <c r="I6" s="27"/>
      <c r="J6" s="25"/>
      <c r="K6" s="25"/>
      <c r="L6" s="25"/>
      <c r="M6" s="25"/>
      <c r="N6" s="26"/>
      <c r="O6" s="26"/>
      <c r="P6" s="26"/>
    </row>
    <row r="7" spans="1:16" ht="15.75" x14ac:dyDescent="0.25">
      <c r="A7" s="27"/>
      <c r="B7" s="25"/>
      <c r="C7" s="25"/>
      <c r="D7" s="25"/>
      <c r="E7" s="25"/>
      <c r="F7" s="26"/>
      <c r="G7" s="26"/>
      <c r="H7" s="26"/>
      <c r="I7" s="27"/>
      <c r="J7" s="25"/>
      <c r="K7" s="25"/>
      <c r="L7" s="25"/>
      <c r="M7" s="25"/>
      <c r="N7" s="26"/>
      <c r="O7" s="26"/>
      <c r="P7" s="26"/>
    </row>
    <row r="8" spans="1:16" ht="15.75" x14ac:dyDescent="0.25">
      <c r="A8" s="25"/>
      <c r="B8" s="25"/>
      <c r="C8" s="25"/>
      <c r="D8" s="25"/>
      <c r="E8" s="25"/>
      <c r="F8" s="26"/>
      <c r="G8" s="26"/>
      <c r="H8" s="26"/>
      <c r="I8" s="25"/>
      <c r="J8" s="25"/>
      <c r="K8" s="25"/>
      <c r="L8" s="25"/>
      <c r="M8" s="25"/>
      <c r="N8" s="26"/>
      <c r="O8" s="26"/>
      <c r="P8" s="26"/>
    </row>
    <row r="9" spans="1:16" ht="15.75" x14ac:dyDescent="0.25">
      <c r="A9" s="25"/>
      <c r="B9" s="25"/>
      <c r="C9" s="25"/>
      <c r="D9" s="25"/>
      <c r="E9" s="25"/>
      <c r="F9" s="28"/>
      <c r="G9" s="26"/>
      <c r="H9" s="26"/>
      <c r="I9" s="25"/>
      <c r="J9" s="25"/>
      <c r="K9" s="25"/>
      <c r="L9" s="25"/>
      <c r="M9" s="25"/>
      <c r="N9" s="28"/>
      <c r="O9" s="26"/>
      <c r="P9" s="26"/>
    </row>
    <row r="10" spans="1:16" ht="15.75" x14ac:dyDescent="0.25">
      <c r="A10" s="25"/>
      <c r="B10" s="26"/>
      <c r="C10" s="26"/>
      <c r="D10" s="26"/>
      <c r="E10" s="26"/>
      <c r="F10" s="26"/>
      <c r="G10" s="26"/>
      <c r="H10" s="26"/>
      <c r="I10" s="25"/>
      <c r="J10" s="26"/>
      <c r="K10" s="26"/>
      <c r="L10" s="26"/>
      <c r="M10" s="26"/>
      <c r="N10" s="26"/>
      <c r="O10" s="26"/>
      <c r="P10" s="26"/>
    </row>
    <row r="11" spans="1:16" ht="15.75" x14ac:dyDescent="0.25">
      <c r="A11" s="29"/>
      <c r="B11" s="29"/>
      <c r="C11" s="30"/>
      <c r="D11" s="28"/>
      <c r="E11" s="26"/>
      <c r="F11" s="26"/>
      <c r="G11" s="26"/>
      <c r="H11" s="29"/>
      <c r="I11" s="29"/>
      <c r="J11" s="28"/>
      <c r="K11" s="28"/>
      <c r="L11" s="30"/>
      <c r="M11" s="28"/>
      <c r="N11" s="33"/>
      <c r="O11" s="29"/>
      <c r="P11" s="28"/>
    </row>
    <row r="12" spans="1:16" ht="15.75" x14ac:dyDescent="0.25">
      <c r="A12" s="26"/>
      <c r="B12" s="26"/>
      <c r="C12" s="35"/>
      <c r="D12" s="36"/>
      <c r="E12" s="26"/>
      <c r="F12" s="26"/>
      <c r="G12" s="26"/>
      <c r="H12" s="26"/>
      <c r="I12" s="26"/>
      <c r="J12" s="28"/>
      <c r="K12" s="28"/>
      <c r="L12" s="28"/>
      <c r="M12" s="28"/>
      <c r="N12" s="30"/>
      <c r="O12" s="28"/>
      <c r="P12" s="28"/>
    </row>
    <row r="13" spans="1:16" ht="15.75" x14ac:dyDescent="0.25">
      <c r="A13" s="26"/>
      <c r="B13" s="25"/>
      <c r="C13" s="25"/>
      <c r="D13" s="25"/>
      <c r="E13" s="25"/>
      <c r="F13" s="26"/>
      <c r="G13" s="26"/>
      <c r="H13" s="26"/>
      <c r="I13" s="26"/>
      <c r="J13" s="26"/>
      <c r="K13" s="26"/>
      <c r="L13" s="26"/>
      <c r="M13" s="26"/>
      <c r="N13" s="35"/>
      <c r="O13" s="36"/>
      <c r="P13" s="26"/>
    </row>
    <row r="14" spans="1:16" ht="18.75" x14ac:dyDescent="0.25">
      <c r="A14" s="3" t="s">
        <v>45</v>
      </c>
      <c r="I14" s="6" t="s">
        <v>47</v>
      </c>
    </row>
    <row r="15" spans="1:16" ht="15.75" x14ac:dyDescent="0.25">
      <c r="A15" s="25"/>
      <c r="B15" s="25"/>
      <c r="C15" s="25"/>
      <c r="D15" s="25"/>
      <c r="E15" s="25"/>
      <c r="F15" s="26"/>
      <c r="G15" s="26"/>
      <c r="H15" s="26"/>
      <c r="I15" s="25"/>
      <c r="J15" s="25"/>
      <c r="K15" s="25"/>
      <c r="L15" s="25"/>
      <c r="M15" s="25"/>
      <c r="N15" s="26"/>
      <c r="O15" s="26"/>
    </row>
    <row r="16" spans="1:16" ht="15.75" x14ac:dyDescent="0.25">
      <c r="A16" s="85"/>
      <c r="B16" s="85"/>
      <c r="C16" s="85"/>
      <c r="D16" s="85"/>
      <c r="E16" s="25"/>
      <c r="F16" s="26"/>
      <c r="G16" s="26"/>
      <c r="H16" s="26"/>
      <c r="I16" s="85"/>
      <c r="J16" s="85"/>
      <c r="K16" s="85"/>
      <c r="L16" s="85"/>
      <c r="M16" s="25"/>
      <c r="N16" s="26"/>
      <c r="O16" s="26"/>
    </row>
    <row r="17" spans="1:15" ht="15.75" x14ac:dyDescent="0.25">
      <c r="A17" s="26"/>
      <c r="B17" s="26"/>
      <c r="C17" s="26"/>
      <c r="D17" s="26"/>
      <c r="E17" s="25"/>
      <c r="F17" s="26"/>
      <c r="G17" s="26"/>
      <c r="H17" s="26"/>
      <c r="I17" s="26"/>
      <c r="J17" s="26"/>
      <c r="K17" s="26"/>
      <c r="L17" s="26"/>
      <c r="M17" s="25"/>
      <c r="N17" s="26"/>
      <c r="O17" s="26"/>
    </row>
    <row r="18" spans="1:15" ht="15.75" x14ac:dyDescent="0.25">
      <c r="A18" s="27"/>
      <c r="B18" s="25"/>
      <c r="C18" s="25"/>
      <c r="D18" s="25"/>
      <c r="E18" s="25"/>
      <c r="F18" s="26"/>
      <c r="G18" s="26"/>
      <c r="H18" s="26"/>
      <c r="I18" s="27"/>
      <c r="J18" s="25"/>
      <c r="K18" s="25"/>
      <c r="L18" s="25"/>
      <c r="M18" s="25"/>
      <c r="N18" s="26"/>
      <c r="O18" s="26"/>
    </row>
    <row r="19" spans="1:15" ht="15.75" x14ac:dyDescent="0.25">
      <c r="A19" s="27"/>
      <c r="B19" s="25"/>
      <c r="C19" s="25"/>
      <c r="D19" s="25"/>
      <c r="E19" s="25"/>
      <c r="F19" s="26"/>
      <c r="G19" s="26"/>
      <c r="H19" s="26"/>
      <c r="I19" s="27"/>
      <c r="J19" s="25"/>
      <c r="K19" s="25"/>
      <c r="L19" s="25"/>
      <c r="M19" s="25"/>
      <c r="N19" s="26"/>
      <c r="O19" s="26"/>
    </row>
    <row r="20" spans="1:15" ht="15.75" x14ac:dyDescent="0.25">
      <c r="A20" s="25"/>
      <c r="B20" s="25"/>
      <c r="C20" s="25"/>
      <c r="D20" s="25"/>
      <c r="E20" s="25"/>
      <c r="F20" s="26"/>
      <c r="G20" s="26"/>
      <c r="H20" s="26"/>
      <c r="I20" s="25"/>
      <c r="J20" s="25"/>
      <c r="K20" s="25"/>
      <c r="L20" s="25"/>
      <c r="M20" s="25"/>
      <c r="N20" s="26"/>
      <c r="O20" s="26"/>
    </row>
    <row r="21" spans="1:15" ht="15.75" x14ac:dyDescent="0.25">
      <c r="A21" s="25"/>
      <c r="B21" s="25"/>
      <c r="C21" s="25"/>
      <c r="D21" s="25"/>
      <c r="E21" s="25"/>
      <c r="F21" s="28"/>
      <c r="G21" s="26"/>
      <c r="H21" s="26"/>
      <c r="I21" s="25"/>
      <c r="J21" s="25"/>
      <c r="K21" s="25"/>
      <c r="L21" s="25"/>
      <c r="M21" s="25"/>
      <c r="N21" s="28"/>
      <c r="O21" s="26"/>
    </row>
    <row r="22" spans="1:15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5.75" x14ac:dyDescent="0.25">
      <c r="A23" s="29"/>
      <c r="B23" s="29"/>
      <c r="C23" s="30"/>
      <c r="D23" s="28"/>
      <c r="E23" s="26"/>
      <c r="F23" s="26"/>
      <c r="G23" s="26"/>
      <c r="H23" s="26"/>
      <c r="I23" s="29"/>
      <c r="J23" s="29"/>
      <c r="K23" s="30"/>
      <c r="L23" s="37"/>
      <c r="M23" s="26"/>
      <c r="N23" s="26"/>
      <c r="O23" s="26"/>
    </row>
    <row r="24" spans="1:15" ht="15.75" x14ac:dyDescent="0.25">
      <c r="A24" s="26"/>
      <c r="B24" s="26"/>
      <c r="C24" s="35"/>
      <c r="D24" s="36"/>
      <c r="E24" s="26"/>
      <c r="F24" s="26"/>
      <c r="G24" s="26"/>
      <c r="H24" s="26"/>
      <c r="I24" s="29"/>
      <c r="J24" s="36"/>
      <c r="K24" s="38"/>
      <c r="L24" s="26"/>
      <c r="M24" s="26"/>
      <c r="N24" s="26"/>
      <c r="O24" s="26"/>
    </row>
    <row r="25" spans="1:15" ht="18.75" x14ac:dyDescent="0.25">
      <c r="A25" s="3" t="s">
        <v>48</v>
      </c>
      <c r="D25" s="21"/>
      <c r="E25" s="39"/>
      <c r="F25" s="23"/>
      <c r="G25" s="23"/>
    </row>
    <row r="26" spans="1:15" ht="20.25" x14ac:dyDescent="0.35">
      <c r="A26" s="8" t="s">
        <v>18</v>
      </c>
      <c r="B26" s="8" t="s">
        <v>19</v>
      </c>
      <c r="I26" s="8" t="s">
        <v>20</v>
      </c>
      <c r="J26" s="8" t="s">
        <v>21</v>
      </c>
    </row>
    <row r="27" spans="1:15" ht="15.75" x14ac:dyDescent="0.25">
      <c r="A27" s="83"/>
      <c r="B27" s="83"/>
      <c r="C27" s="83"/>
      <c r="D27" s="83"/>
      <c r="E27" s="22"/>
      <c r="F27" s="22"/>
      <c r="G27" s="22"/>
      <c r="H27" s="21"/>
      <c r="I27" s="83"/>
      <c r="J27" s="83"/>
      <c r="K27" s="83"/>
      <c r="L27" s="83"/>
      <c r="M27" s="22"/>
      <c r="N27" s="22"/>
      <c r="O27" s="21"/>
    </row>
    <row r="28" spans="1:15" ht="15.75" x14ac:dyDescent="0.25">
      <c r="A28" s="23"/>
      <c r="B28" s="23"/>
      <c r="C28" s="23"/>
      <c r="D28" s="23"/>
      <c r="E28" s="40"/>
      <c r="F28" s="41"/>
      <c r="G28" s="41"/>
      <c r="H28" s="21"/>
      <c r="I28" s="21"/>
      <c r="J28" s="21"/>
      <c r="K28" s="21"/>
      <c r="L28" s="21"/>
      <c r="M28" s="40"/>
      <c r="N28" s="41"/>
      <c r="O28" s="42"/>
    </row>
    <row r="29" spans="1:15" ht="18.75" x14ac:dyDescent="0.25">
      <c r="A29" s="8" t="s">
        <v>23</v>
      </c>
      <c r="B29" s="8" t="s">
        <v>24</v>
      </c>
      <c r="C29" s="8"/>
      <c r="D29" s="8"/>
      <c r="E29" s="8"/>
      <c r="I29" s="8" t="s">
        <v>27</v>
      </c>
      <c r="J29" s="8" t="s">
        <v>28</v>
      </c>
      <c r="K29" s="8"/>
      <c r="L29" s="8"/>
    </row>
    <row r="30" spans="1:15" ht="15.75" x14ac:dyDescent="0.25">
      <c r="A30" s="83"/>
      <c r="B30" s="83"/>
      <c r="C30" s="83"/>
      <c r="D30" s="83"/>
      <c r="E30" s="21"/>
      <c r="F30" s="21"/>
      <c r="G30" s="21"/>
      <c r="H30" s="21"/>
      <c r="I30" s="83"/>
      <c r="J30" s="83"/>
      <c r="K30" s="83"/>
      <c r="L30" s="83"/>
      <c r="M30" s="21"/>
      <c r="N30" s="21"/>
      <c r="O30" s="21"/>
    </row>
    <row r="31" spans="1:1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ht="15.75" x14ac:dyDescent="0.25">
      <c r="A32" s="21"/>
      <c r="B32" s="22"/>
      <c r="C32" s="22"/>
      <c r="D32" s="22"/>
      <c r="E32" s="22"/>
      <c r="F32" s="22"/>
      <c r="G32" s="21"/>
      <c r="H32" s="21"/>
      <c r="I32" s="22"/>
      <c r="J32" s="22"/>
      <c r="K32" s="22"/>
      <c r="L32" s="34"/>
      <c r="M32" s="22"/>
      <c r="N32" s="22"/>
      <c r="O32" s="22"/>
    </row>
    <row r="33" spans="1:15" ht="15.75" x14ac:dyDescent="0.25">
      <c r="A33" s="21"/>
      <c r="B33" s="24"/>
      <c r="C33" s="22"/>
      <c r="D33" s="22"/>
      <c r="E33" s="22"/>
      <c r="F33" s="22"/>
      <c r="G33" s="21"/>
      <c r="H33" s="21"/>
      <c r="I33" s="22"/>
      <c r="J33" s="23"/>
      <c r="K33" s="43"/>
      <c r="L33" s="22"/>
      <c r="M33" s="22"/>
      <c r="N33" s="22"/>
      <c r="O33" s="22"/>
    </row>
    <row r="34" spans="1:15" ht="15.75" x14ac:dyDescent="0.25">
      <c r="A34" s="21"/>
      <c r="B34" s="44"/>
      <c r="C34" s="43"/>
      <c r="D34" s="43"/>
      <c r="E34" s="45"/>
      <c r="F34" s="41"/>
      <c r="G34" s="21"/>
      <c r="H34" s="21"/>
      <c r="I34" s="22"/>
      <c r="J34" s="22"/>
      <c r="K34" s="22"/>
      <c r="L34" s="34"/>
      <c r="M34" s="22"/>
      <c r="N34" s="22"/>
      <c r="O34" s="22"/>
    </row>
    <row r="35" spans="1:15" ht="15.75" x14ac:dyDescent="0.25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34"/>
      <c r="M35" s="22"/>
      <c r="N35" s="22"/>
      <c r="O35" s="21"/>
    </row>
    <row r="36" spans="1:15" ht="15.75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3"/>
      <c r="K36" s="23"/>
      <c r="L36" s="23"/>
      <c r="M36" s="40"/>
      <c r="N36" s="41"/>
      <c r="O36" s="42"/>
    </row>
    <row r="37" spans="1:15" ht="15.75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2"/>
      <c r="N37" s="21"/>
      <c r="O37" s="21"/>
    </row>
  </sheetData>
  <mergeCells count="9">
    <mergeCell ref="A30:D30"/>
    <mergeCell ref="I30:L30"/>
    <mergeCell ref="A1:B1"/>
    <mergeCell ref="A4:D4"/>
    <mergeCell ref="I4:L4"/>
    <mergeCell ref="A16:D16"/>
    <mergeCell ref="I16:L16"/>
    <mergeCell ref="A27:D27"/>
    <mergeCell ref="I27:L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5041-FA51-4AE8-9279-8D90B68A85EB}">
  <dimension ref="A1:P40"/>
  <sheetViews>
    <sheetView view="pageBreakPreview" topLeftCell="A19" zoomScale="170" zoomScaleNormal="130" zoomScaleSheetLayoutView="170" workbookViewId="0">
      <selection activeCell="A14" sqref="A14"/>
    </sheetView>
  </sheetViews>
  <sheetFormatPr defaultRowHeight="15" x14ac:dyDescent="0.25"/>
  <cols>
    <col min="2" max="2" width="10.5703125" customWidth="1"/>
    <col min="3" max="3" width="11" customWidth="1"/>
    <col min="4" max="4" width="8" customWidth="1"/>
    <col min="5" max="5" width="10.140625" customWidth="1"/>
    <col min="6" max="6" width="7.140625" customWidth="1"/>
    <col min="7" max="7" width="3.5703125" customWidth="1"/>
    <col min="9" max="9" width="10.42578125" customWidth="1"/>
    <col min="11" max="11" width="11.7109375" customWidth="1"/>
    <col min="12" max="12" width="8.85546875" customWidth="1"/>
    <col min="13" max="13" width="7.85546875" customWidth="1"/>
    <col min="14" max="14" width="8.28515625" customWidth="1"/>
    <col min="15" max="15" width="17.42578125" customWidth="1"/>
  </cols>
  <sheetData>
    <row r="1" spans="1:16" ht="15.75" x14ac:dyDescent="0.25">
      <c r="A1" s="87" t="s">
        <v>36</v>
      </c>
      <c r="B1" s="87"/>
      <c r="E1" s="61" t="s">
        <v>96</v>
      </c>
      <c r="F1" s="61">
        <v>-199</v>
      </c>
      <c r="G1" s="62" t="s">
        <v>95</v>
      </c>
      <c r="I1" s="3" t="s">
        <v>97</v>
      </c>
      <c r="K1" s="3">
        <v>0.66</v>
      </c>
      <c r="L1" s="3" t="s">
        <v>98</v>
      </c>
      <c r="M1" s="60" t="s">
        <v>94</v>
      </c>
    </row>
    <row r="2" spans="1:16" ht="15.75" x14ac:dyDescent="0.25">
      <c r="A2" s="3" t="s">
        <v>41</v>
      </c>
      <c r="B2" s="2"/>
      <c r="C2" s="2"/>
      <c r="D2" s="2"/>
      <c r="E2" s="2"/>
      <c r="I2" s="6" t="s">
        <v>42</v>
      </c>
    </row>
    <row r="3" spans="1:16" ht="18.75" x14ac:dyDescent="0.35">
      <c r="A3" s="2" t="s">
        <v>37</v>
      </c>
      <c r="B3" s="2"/>
      <c r="C3" s="2" t="s">
        <v>38</v>
      </c>
      <c r="D3" s="2">
        <f>6*12+14</f>
        <v>86</v>
      </c>
      <c r="E3" s="2" t="s">
        <v>3</v>
      </c>
      <c r="H3" s="1"/>
      <c r="I3" s="2" t="s">
        <v>37</v>
      </c>
      <c r="J3" s="2"/>
      <c r="K3" s="2" t="s">
        <v>38</v>
      </c>
      <c r="L3" s="2">
        <f>D3</f>
        <v>86</v>
      </c>
      <c r="M3" s="2" t="s">
        <v>3</v>
      </c>
    </row>
    <row r="4" spans="1:16" ht="18.75" x14ac:dyDescent="0.35">
      <c r="A4" s="86" t="s">
        <v>39</v>
      </c>
      <c r="B4" s="86"/>
      <c r="C4" s="86"/>
      <c r="D4" s="86"/>
      <c r="E4" s="2"/>
      <c r="H4" s="1"/>
      <c r="I4" s="86" t="s">
        <v>39</v>
      </c>
      <c r="J4" s="86"/>
      <c r="K4" s="86"/>
      <c r="L4" s="86"/>
      <c r="M4" s="2"/>
    </row>
    <row r="5" spans="1:16" ht="15.75" x14ac:dyDescent="0.25">
      <c r="E5" s="2"/>
      <c r="H5" s="1"/>
      <c r="M5" s="2"/>
    </row>
    <row r="6" spans="1:16" ht="18.75" x14ac:dyDescent="0.35">
      <c r="A6" s="4" t="s">
        <v>15</v>
      </c>
      <c r="B6" s="2">
        <f>adatok!C3</f>
        <v>-394</v>
      </c>
      <c r="C6" s="2" t="s">
        <v>6</v>
      </c>
      <c r="D6" s="2"/>
      <c r="E6" s="2">
        <f>12*B6</f>
        <v>-4728</v>
      </c>
      <c r="F6">
        <v>12</v>
      </c>
      <c r="G6" t="s">
        <v>99</v>
      </c>
      <c r="H6" s="1"/>
      <c r="I6" s="4" t="s">
        <v>15</v>
      </c>
      <c r="J6" s="2">
        <v>-394</v>
      </c>
      <c r="K6" s="2" t="s">
        <v>6</v>
      </c>
      <c r="L6" s="2"/>
      <c r="M6" s="2">
        <f>12*J6</f>
        <v>-4728</v>
      </c>
      <c r="N6">
        <v>12</v>
      </c>
      <c r="O6" t="s">
        <v>99</v>
      </c>
    </row>
    <row r="7" spans="1:16" ht="18.75" x14ac:dyDescent="0.35">
      <c r="A7" s="4" t="s">
        <v>7</v>
      </c>
      <c r="B7" s="2">
        <f>adatok!C10</f>
        <v>-242</v>
      </c>
      <c r="C7" s="2" t="s">
        <v>6</v>
      </c>
      <c r="D7" s="2"/>
      <c r="E7" s="2">
        <f>14*B7</f>
        <v>-3388</v>
      </c>
      <c r="F7">
        <v>14</v>
      </c>
      <c r="G7" t="s">
        <v>99</v>
      </c>
      <c r="I7" s="4" t="s">
        <v>7</v>
      </c>
      <c r="J7" s="2">
        <v>-242</v>
      </c>
      <c r="K7" s="2" t="s">
        <v>6</v>
      </c>
      <c r="L7" s="2"/>
      <c r="M7" s="2">
        <f>14*J7</f>
        <v>-3388</v>
      </c>
      <c r="N7">
        <v>14</v>
      </c>
      <c r="O7" t="s">
        <v>99</v>
      </c>
    </row>
    <row r="8" spans="1:16" ht="18.75" x14ac:dyDescent="0.35">
      <c r="A8" s="5" t="s">
        <v>100</v>
      </c>
      <c r="B8" s="5"/>
      <c r="C8" s="5"/>
      <c r="D8" s="5">
        <f>-F1</f>
        <v>199</v>
      </c>
      <c r="E8" s="5">
        <f>2*D8</f>
        <v>398</v>
      </c>
      <c r="F8">
        <v>2</v>
      </c>
      <c r="G8" t="s">
        <v>99</v>
      </c>
      <c r="I8" s="5" t="s">
        <v>40</v>
      </c>
      <c r="J8" s="5"/>
      <c r="K8" s="5"/>
      <c r="L8" s="5">
        <v>199</v>
      </c>
      <c r="M8" s="5">
        <f>2*L8</f>
        <v>398</v>
      </c>
      <c r="N8">
        <v>2</v>
      </c>
      <c r="O8" t="s">
        <v>99</v>
      </c>
    </row>
    <row r="9" spans="1:16" ht="15.75" x14ac:dyDescent="0.25">
      <c r="A9" s="2" t="s">
        <v>9</v>
      </c>
      <c r="B9" s="2"/>
      <c r="C9" s="2"/>
      <c r="D9" s="2"/>
      <c r="E9" s="2">
        <f>SUM(E6:E8)</f>
        <v>-7718</v>
      </c>
      <c r="F9" s="1" t="s">
        <v>6</v>
      </c>
      <c r="I9" s="2" t="s">
        <v>9</v>
      </c>
      <c r="J9" s="2"/>
      <c r="K9" s="2"/>
      <c r="L9" s="2"/>
      <c r="M9" s="2">
        <f>SUM(M6:M8)</f>
        <v>-7718</v>
      </c>
      <c r="N9" s="1" t="s">
        <v>6</v>
      </c>
    </row>
    <row r="10" spans="1:16" ht="15.75" x14ac:dyDescent="0.25">
      <c r="A10" s="2"/>
      <c r="I10" s="2"/>
    </row>
    <row r="11" spans="1:16" ht="15.75" x14ac:dyDescent="0.25">
      <c r="A11" s="10" t="s">
        <v>52</v>
      </c>
      <c r="B11" s="10"/>
      <c r="C11" s="12">
        <f>E9/(2*D3)</f>
        <v>-44.872093023255815</v>
      </c>
      <c r="D11" s="13" t="s">
        <v>101</v>
      </c>
      <c r="E11" s="14"/>
      <c r="F11" s="14"/>
      <c r="H11" s="23"/>
      <c r="I11" s="23"/>
      <c r="J11" s="63">
        <v>1</v>
      </c>
      <c r="K11" s="64" t="s">
        <v>118</v>
      </c>
      <c r="L11" s="65">
        <f>M9/(2*L3)</f>
        <v>-44.872093023255815</v>
      </c>
      <c r="M11" s="66" t="s">
        <v>43</v>
      </c>
      <c r="P11" s="1"/>
    </row>
    <row r="12" spans="1:16" ht="15.75" x14ac:dyDescent="0.25">
      <c r="H12">
        <v>1</v>
      </c>
      <c r="I12" s="25" t="s">
        <v>44</v>
      </c>
      <c r="J12" s="63">
        <f>K1</f>
        <v>0.66</v>
      </c>
      <c r="K12" s="64" t="s">
        <v>118</v>
      </c>
      <c r="L12" s="71">
        <f>L11*J12</f>
        <v>-29.61558139534884</v>
      </c>
      <c r="M12" s="72" t="s">
        <v>119</v>
      </c>
      <c r="N12" s="67">
        <f>-L12</f>
        <v>29.61558139534884</v>
      </c>
      <c r="O12" s="68" t="s">
        <v>53</v>
      </c>
      <c r="P12" s="13"/>
    </row>
    <row r="13" spans="1:16" ht="15.75" x14ac:dyDescent="0.25">
      <c r="B13" s="2"/>
      <c r="C13" s="2"/>
      <c r="D13" s="2"/>
      <c r="E13" s="2"/>
    </row>
    <row r="14" spans="1:16" ht="18.75" x14ac:dyDescent="0.25">
      <c r="A14" s="3" t="s">
        <v>45</v>
      </c>
      <c r="I14" s="6" t="s">
        <v>120</v>
      </c>
    </row>
    <row r="15" spans="1:16" ht="18.75" x14ac:dyDescent="0.35">
      <c r="A15" s="2" t="s">
        <v>37</v>
      </c>
      <c r="B15" s="2"/>
      <c r="C15" s="2" t="s">
        <v>38</v>
      </c>
      <c r="D15" s="2">
        <f>D3</f>
        <v>86</v>
      </c>
      <c r="E15" s="2" t="s">
        <v>3</v>
      </c>
      <c r="I15" s="2" t="s">
        <v>37</v>
      </c>
      <c r="J15" s="2"/>
      <c r="K15" s="2" t="s">
        <v>38</v>
      </c>
      <c r="L15" s="2">
        <f>D3</f>
        <v>86</v>
      </c>
      <c r="M15" s="2" t="s">
        <v>3</v>
      </c>
    </row>
    <row r="16" spans="1:16" ht="18.75" x14ac:dyDescent="0.35">
      <c r="A16" s="86" t="s">
        <v>75</v>
      </c>
      <c r="B16" s="86"/>
      <c r="C16" s="86"/>
      <c r="D16" s="86"/>
      <c r="E16" s="2"/>
      <c r="I16" s="86" t="s">
        <v>46</v>
      </c>
      <c r="J16" s="86"/>
      <c r="K16" s="86"/>
      <c r="L16" s="86"/>
      <c r="M16" s="2"/>
    </row>
    <row r="17" spans="1:15" ht="15.75" x14ac:dyDescent="0.25">
      <c r="E17" s="2"/>
      <c r="M17" s="2"/>
    </row>
    <row r="18" spans="1:15" ht="18.75" x14ac:dyDescent="0.35">
      <c r="A18" s="4" t="s">
        <v>15</v>
      </c>
      <c r="B18" s="2">
        <f>B6</f>
        <v>-394</v>
      </c>
      <c r="C18" s="2" t="s">
        <v>6</v>
      </c>
      <c r="D18" s="2"/>
      <c r="E18" s="2">
        <f>12*B18</f>
        <v>-4728</v>
      </c>
      <c r="F18">
        <v>12</v>
      </c>
      <c r="G18" t="s">
        <v>99</v>
      </c>
      <c r="I18" s="4" t="s">
        <v>15</v>
      </c>
      <c r="J18" s="2">
        <f>B18</f>
        <v>-394</v>
      </c>
      <c r="K18" s="2" t="s">
        <v>6</v>
      </c>
      <c r="L18" s="2"/>
      <c r="M18" s="2">
        <f>12*J18</f>
        <v>-4728</v>
      </c>
      <c r="N18">
        <v>12</v>
      </c>
      <c r="O18" t="s">
        <v>99</v>
      </c>
    </row>
    <row r="19" spans="1:15" ht="18.75" x14ac:dyDescent="0.35">
      <c r="A19" s="4" t="s">
        <v>7</v>
      </c>
      <c r="B19" s="2">
        <f>adatok!C11</f>
        <v>-286</v>
      </c>
      <c r="C19" s="2" t="s">
        <v>6</v>
      </c>
      <c r="D19" s="2"/>
      <c r="E19" s="2">
        <f>14*B19</f>
        <v>-4004</v>
      </c>
      <c r="F19">
        <v>14</v>
      </c>
      <c r="G19" t="s">
        <v>99</v>
      </c>
      <c r="I19" s="4" t="s">
        <v>7</v>
      </c>
      <c r="J19" s="2">
        <f>B19</f>
        <v>-286</v>
      </c>
      <c r="K19" s="2" t="s">
        <v>6</v>
      </c>
      <c r="L19" s="2"/>
      <c r="M19" s="2">
        <f>14*J19</f>
        <v>-4004</v>
      </c>
      <c r="N19">
        <v>14</v>
      </c>
      <c r="O19" t="s">
        <v>99</v>
      </c>
    </row>
    <row r="20" spans="1:15" ht="18.75" x14ac:dyDescent="0.35">
      <c r="A20" s="5" t="s">
        <v>100</v>
      </c>
      <c r="B20" s="5"/>
      <c r="C20" s="5"/>
      <c r="D20" s="5">
        <f>D8</f>
        <v>199</v>
      </c>
      <c r="E20" s="5">
        <f>2*D20</f>
        <v>398</v>
      </c>
      <c r="F20">
        <v>2</v>
      </c>
      <c r="G20" t="s">
        <v>99</v>
      </c>
      <c r="I20" s="5" t="s">
        <v>40</v>
      </c>
      <c r="J20" s="5"/>
      <c r="K20" s="5"/>
      <c r="L20" s="5">
        <v>199</v>
      </c>
      <c r="M20" s="5">
        <f>2*L20</f>
        <v>398</v>
      </c>
      <c r="N20">
        <v>2</v>
      </c>
      <c r="O20" t="s">
        <v>99</v>
      </c>
    </row>
    <row r="21" spans="1:15" ht="15.75" x14ac:dyDescent="0.25">
      <c r="A21" s="2" t="s">
        <v>9</v>
      </c>
      <c r="B21" s="2"/>
      <c r="C21" s="2"/>
      <c r="D21" s="2"/>
      <c r="E21" s="2">
        <f>SUM(E18:E20)</f>
        <v>-8334</v>
      </c>
      <c r="F21" s="1" t="s">
        <v>6</v>
      </c>
      <c r="I21" s="2" t="s">
        <v>9</v>
      </c>
      <c r="J21" s="2"/>
      <c r="K21" s="2"/>
      <c r="L21" s="2"/>
      <c r="M21" s="2">
        <f>SUM(M18:M20)</f>
        <v>-8334</v>
      </c>
      <c r="N21" s="1" t="s">
        <v>6</v>
      </c>
    </row>
    <row r="22" spans="1:15" ht="15.75" x14ac:dyDescent="0.25">
      <c r="J22" s="1"/>
      <c r="K22" s="1"/>
      <c r="L22" s="39"/>
      <c r="M22" s="77"/>
      <c r="N22" s="78"/>
    </row>
    <row r="23" spans="1:15" ht="15.75" x14ac:dyDescent="0.25">
      <c r="A23" s="10" t="s">
        <v>52</v>
      </c>
      <c r="B23" s="10"/>
      <c r="C23" s="12">
        <f>E21/(2*D15)</f>
        <v>-48.453488372093027</v>
      </c>
      <c r="D23" s="13" t="s">
        <v>102</v>
      </c>
      <c r="E23" s="14"/>
      <c r="F23" s="14"/>
      <c r="H23" s="23"/>
      <c r="I23" s="23"/>
      <c r="J23" s="63">
        <v>1</v>
      </c>
      <c r="K23" s="64" t="s">
        <v>29</v>
      </c>
      <c r="L23" s="65">
        <f>M21/(2*L15)</f>
        <v>-48.453488372093027</v>
      </c>
      <c r="M23" s="66" t="s">
        <v>43</v>
      </c>
    </row>
    <row r="24" spans="1:15" ht="15.75" x14ac:dyDescent="0.25">
      <c r="H24" s="79">
        <v>1</v>
      </c>
      <c r="I24" s="25" t="s">
        <v>44</v>
      </c>
      <c r="J24" s="63">
        <v>0.66</v>
      </c>
      <c r="K24" s="64" t="s">
        <v>29</v>
      </c>
      <c r="L24" s="71">
        <f>L23*J24</f>
        <v>-31.979302325581401</v>
      </c>
      <c r="M24" s="72" t="s">
        <v>43</v>
      </c>
      <c r="N24" s="7">
        <f>-L24</f>
        <v>31.979302325581401</v>
      </c>
      <c r="O24" s="1" t="s">
        <v>104</v>
      </c>
    </row>
    <row r="25" spans="1:15" ht="18.75" x14ac:dyDescent="0.25">
      <c r="I25" s="25"/>
      <c r="J25" s="1">
        <v>1</v>
      </c>
      <c r="K25" s="1" t="s">
        <v>105</v>
      </c>
      <c r="L25" s="69">
        <v>1000</v>
      </c>
      <c r="M25" s="1" t="s">
        <v>55</v>
      </c>
      <c r="N25" s="70">
        <f>N24*1000</f>
        <v>31979.302325581401</v>
      </c>
      <c r="O25" s="68" t="s">
        <v>103</v>
      </c>
    </row>
    <row r="26" spans="1:15" ht="18.75" x14ac:dyDescent="0.25">
      <c r="A26" s="3" t="s">
        <v>48</v>
      </c>
      <c r="D26" s="18">
        <v>5</v>
      </c>
      <c r="E26" s="20" t="s">
        <v>106</v>
      </c>
      <c r="F26" s="18">
        <f>D26*1000*K1</f>
        <v>3300</v>
      </c>
      <c r="G26" s="18" t="s">
        <v>54</v>
      </c>
    </row>
    <row r="27" spans="1:15" ht="20.25" x14ac:dyDescent="0.35">
      <c r="A27" s="8" t="s">
        <v>18</v>
      </c>
      <c r="B27" s="8" t="s">
        <v>19</v>
      </c>
      <c r="I27" s="8" t="s">
        <v>20</v>
      </c>
      <c r="J27" s="8" t="s">
        <v>21</v>
      </c>
    </row>
    <row r="28" spans="1:15" ht="18.75" x14ac:dyDescent="0.35">
      <c r="A28" s="86" t="s">
        <v>49</v>
      </c>
      <c r="B28" s="86"/>
      <c r="C28" s="86"/>
      <c r="D28" s="86"/>
      <c r="E28" s="22"/>
      <c r="F28" s="22"/>
      <c r="G28" s="22"/>
      <c r="I28" s="86" t="s">
        <v>49</v>
      </c>
      <c r="J28" s="86"/>
      <c r="K28" s="86"/>
      <c r="L28" s="86"/>
      <c r="M28" s="22"/>
      <c r="N28" s="22"/>
      <c r="O28" s="21"/>
    </row>
    <row r="29" spans="1:15" ht="18.75" x14ac:dyDescent="0.35">
      <c r="A29" s="53">
        <f>2*D3</f>
        <v>172</v>
      </c>
      <c r="B29" s="53" t="s">
        <v>107</v>
      </c>
      <c r="C29" s="53">
        <f>12*24</f>
        <v>288</v>
      </c>
      <c r="D29" s="53" t="s">
        <v>108</v>
      </c>
      <c r="E29" s="21">
        <v>12</v>
      </c>
      <c r="F29" s="21" t="s">
        <v>99</v>
      </c>
      <c r="G29" s="41"/>
      <c r="H29" s="1"/>
      <c r="I29" s="53">
        <f>2*L3</f>
        <v>172</v>
      </c>
      <c r="J29" s="53" t="s">
        <v>107</v>
      </c>
      <c r="K29" s="53">
        <f>19*24</f>
        <v>456</v>
      </c>
      <c r="L29" s="53" t="s">
        <v>111</v>
      </c>
      <c r="M29" s="21">
        <v>19</v>
      </c>
      <c r="N29" s="21" t="s">
        <v>110</v>
      </c>
      <c r="O29" s="41"/>
    </row>
    <row r="30" spans="1:15" ht="20.25" x14ac:dyDescent="0.35">
      <c r="A30" s="53">
        <f>A29</f>
        <v>172</v>
      </c>
      <c r="B30" s="53" t="s">
        <v>54</v>
      </c>
      <c r="C30" s="53">
        <f>C29</f>
        <v>288</v>
      </c>
      <c r="D30" s="53" t="s">
        <v>109</v>
      </c>
      <c r="E30" s="45"/>
      <c r="F30" s="41"/>
      <c r="G30" s="41"/>
      <c r="H30" s="1"/>
      <c r="I30" s="53">
        <f>I29</f>
        <v>172</v>
      </c>
      <c r="J30" s="53" t="s">
        <v>54</v>
      </c>
      <c r="K30" s="53">
        <f>K29</f>
        <v>456</v>
      </c>
      <c r="L30" s="53" t="s">
        <v>112</v>
      </c>
      <c r="M30" s="45"/>
      <c r="N30" s="41"/>
      <c r="O30" s="41"/>
    </row>
    <row r="31" spans="1:15" ht="19.5" x14ac:dyDescent="0.3">
      <c r="A31" s="18">
        <f>F26</f>
        <v>3300</v>
      </c>
      <c r="B31" s="18" t="s">
        <v>54</v>
      </c>
      <c r="C31" s="73">
        <f>A31*C30/A30</f>
        <v>5525.5813953488368</v>
      </c>
      <c r="D31" s="17" t="s">
        <v>56</v>
      </c>
      <c r="E31" s="19"/>
      <c r="F31" s="17"/>
      <c r="G31" s="41"/>
      <c r="H31" s="1"/>
      <c r="I31" s="18">
        <f>F26</f>
        <v>3300</v>
      </c>
      <c r="J31" s="18" t="s">
        <v>54</v>
      </c>
      <c r="K31" s="73">
        <f>I31*K30/I30</f>
        <v>8748.8372093023263</v>
      </c>
      <c r="L31" s="17" t="s">
        <v>113</v>
      </c>
      <c r="M31" s="19"/>
      <c r="N31" s="17"/>
      <c r="O31" s="41"/>
    </row>
    <row r="32" spans="1:15" ht="15.75" x14ac:dyDescent="0.25">
      <c r="A32" s="23"/>
      <c r="B32" s="23"/>
      <c r="C32" s="23"/>
      <c r="D32" s="23"/>
      <c r="E32" s="40"/>
      <c r="F32" s="41"/>
      <c r="G32" s="41"/>
      <c r="H32" s="21"/>
      <c r="I32" s="21"/>
      <c r="J32" s="21"/>
      <c r="K32" s="21"/>
      <c r="L32" s="21"/>
      <c r="M32" s="40"/>
      <c r="N32" s="41"/>
      <c r="O32" s="42"/>
    </row>
    <row r="33" spans="1:15" ht="18.75" x14ac:dyDescent="0.25">
      <c r="A33" s="8" t="s">
        <v>23</v>
      </c>
      <c r="B33" s="8" t="s">
        <v>24</v>
      </c>
      <c r="C33" s="8"/>
      <c r="D33" s="8"/>
      <c r="E33" s="8"/>
      <c r="I33" s="8" t="s">
        <v>27</v>
      </c>
      <c r="J33" s="8" t="s">
        <v>28</v>
      </c>
      <c r="K33" s="8"/>
      <c r="L33" s="8"/>
    </row>
    <row r="34" spans="1:15" ht="18.75" x14ac:dyDescent="0.35">
      <c r="A34" s="86" t="s">
        <v>49</v>
      </c>
      <c r="B34" s="86"/>
      <c r="C34" s="86"/>
      <c r="D34" s="86"/>
      <c r="I34" s="86" t="s">
        <v>49</v>
      </c>
      <c r="J34" s="86"/>
      <c r="K34" s="86"/>
      <c r="L34" s="86"/>
    </row>
    <row r="36" spans="1:15" ht="20.25" x14ac:dyDescent="0.35">
      <c r="B36" s="1">
        <v>100</v>
      </c>
      <c r="C36" s="1" t="s">
        <v>25</v>
      </c>
      <c r="D36" s="1"/>
      <c r="E36" s="1">
        <v>21</v>
      </c>
      <c r="F36" s="1" t="s">
        <v>26</v>
      </c>
      <c r="I36" s="1"/>
      <c r="J36" s="53">
        <f>2*D3</f>
        <v>172</v>
      </c>
      <c r="K36" s="53" t="s">
        <v>107</v>
      </c>
      <c r="L36" s="53">
        <f>14*18</f>
        <v>252</v>
      </c>
      <c r="M36" s="53" t="s">
        <v>115</v>
      </c>
      <c r="N36" s="21">
        <v>14</v>
      </c>
      <c r="O36" s="21" t="s">
        <v>99</v>
      </c>
    </row>
    <row r="37" spans="1:15" ht="20.25" x14ac:dyDescent="0.35">
      <c r="B37" s="50" t="s">
        <v>76</v>
      </c>
      <c r="C37" s="51" t="s">
        <v>25</v>
      </c>
      <c r="D37" s="51"/>
      <c r="E37" s="74">
        <f>K31</f>
        <v>8748.8372093023263</v>
      </c>
      <c r="F37" s="51" t="s">
        <v>26</v>
      </c>
      <c r="I37" s="1"/>
      <c r="J37" s="53">
        <f>J36</f>
        <v>172</v>
      </c>
      <c r="K37" s="53" t="s">
        <v>77</v>
      </c>
      <c r="L37" s="1">
        <f>L36</f>
        <v>252</v>
      </c>
      <c r="M37" s="53" t="s">
        <v>116</v>
      </c>
      <c r="N37" s="1"/>
      <c r="O37" s="1"/>
    </row>
    <row r="38" spans="1:15" ht="20.25" x14ac:dyDescent="0.35">
      <c r="B38" s="44"/>
      <c r="C38" s="43"/>
      <c r="D38" s="52" t="s">
        <v>121</v>
      </c>
      <c r="E38" s="73">
        <f>B36*E37/E36</f>
        <v>41661.12956810632</v>
      </c>
      <c r="F38" s="17" t="s">
        <v>114</v>
      </c>
      <c r="G38" s="75"/>
      <c r="H38" s="75"/>
      <c r="I38" s="1"/>
      <c r="J38" s="54">
        <f>F26</f>
        <v>3300</v>
      </c>
      <c r="K38" s="54" t="str">
        <f>G26</f>
        <v>kg</v>
      </c>
      <c r="L38" s="55" t="s">
        <v>117</v>
      </c>
      <c r="M38" s="53" t="s">
        <v>116</v>
      </c>
      <c r="N38" s="56"/>
      <c r="O38" s="1"/>
    </row>
    <row r="39" spans="1:15" ht="15.75" x14ac:dyDescent="0.25">
      <c r="I39" s="1"/>
      <c r="J39" s="1"/>
      <c r="L39" s="49" t="s">
        <v>78</v>
      </c>
      <c r="M39" s="76">
        <f>J38*L37/J37</f>
        <v>4834.8837209302328</v>
      </c>
      <c r="N39" s="17" t="s">
        <v>79</v>
      </c>
    </row>
    <row r="40" spans="1:15" ht="15.75" x14ac:dyDescent="0.25">
      <c r="M40" s="22"/>
      <c r="N40" s="21"/>
      <c r="O40" s="21"/>
    </row>
  </sheetData>
  <mergeCells count="9">
    <mergeCell ref="A34:D34"/>
    <mergeCell ref="I34:L34"/>
    <mergeCell ref="A1:B1"/>
    <mergeCell ref="A4:D4"/>
    <mergeCell ref="I4:L4"/>
    <mergeCell ref="A16:D16"/>
    <mergeCell ref="I16:L16"/>
    <mergeCell ref="A28:D28"/>
    <mergeCell ref="I28:L28"/>
  </mergeCells>
  <pageMargins left="0.25" right="0.25" top="0.75" bottom="0.75" header="0.3" footer="0.3"/>
  <pageSetup paperSize="9" orientation="landscape" horizontalDpi="4294967293" r:id="rId1"/>
  <rowBreaks count="1" manualBreakCount="1">
    <brk id="2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23F9-AEC4-4580-8798-26A25D7ED4DB}">
  <dimension ref="A1:K34"/>
  <sheetViews>
    <sheetView topLeftCell="A16" zoomScale="120" zoomScaleNormal="120" workbookViewId="0">
      <selection activeCell="I32" sqref="I32"/>
    </sheetView>
  </sheetViews>
  <sheetFormatPr defaultRowHeight="15.75" x14ac:dyDescent="0.25"/>
  <cols>
    <col min="1" max="1" width="8.7109375" style="1" customWidth="1"/>
    <col min="2" max="2" width="10.5703125" style="1" customWidth="1"/>
    <col min="3" max="16384" width="9.140625" style="1"/>
  </cols>
  <sheetData>
    <row r="1" spans="1:9" x14ac:dyDescent="0.25">
      <c r="A1" s="6" t="s">
        <v>156</v>
      </c>
    </row>
    <row r="2" spans="1:9" ht="18.75" x14ac:dyDescent="0.35">
      <c r="D2" s="49" t="s">
        <v>142</v>
      </c>
      <c r="E2" s="1">
        <v>-242</v>
      </c>
      <c r="F2" s="49" t="s">
        <v>143</v>
      </c>
      <c r="G2" s="1">
        <v>-286</v>
      </c>
      <c r="H2" s="49" t="s">
        <v>144</v>
      </c>
      <c r="I2" s="1">
        <v>-394</v>
      </c>
    </row>
    <row r="3" spans="1:9" x14ac:dyDescent="0.25">
      <c r="C3" s="49" t="s">
        <v>124</v>
      </c>
      <c r="D3" s="1">
        <v>24</v>
      </c>
      <c r="F3" s="49"/>
      <c r="H3" s="49"/>
    </row>
    <row r="4" spans="1:9" x14ac:dyDescent="0.25">
      <c r="C4" s="49"/>
      <c r="F4" s="49"/>
      <c r="H4" s="49"/>
    </row>
    <row r="5" spans="1:9" x14ac:dyDescent="0.25">
      <c r="A5" s="1" t="s">
        <v>128</v>
      </c>
      <c r="G5" s="49" t="s">
        <v>123</v>
      </c>
      <c r="H5" s="1">
        <v>-104</v>
      </c>
    </row>
    <row r="7" spans="1:9" ht="18.75" x14ac:dyDescent="0.35">
      <c r="B7" s="1" t="s">
        <v>145</v>
      </c>
    </row>
    <row r="8" spans="1:9" ht="18.75" x14ac:dyDescent="0.35">
      <c r="A8" s="49" t="s">
        <v>125</v>
      </c>
      <c r="B8" s="1">
        <f>3*12+8</f>
        <v>44</v>
      </c>
      <c r="C8" s="1">
        <v>6</v>
      </c>
      <c r="D8" s="1">
        <f>C8*I2</f>
        <v>-2364</v>
      </c>
      <c r="E8" s="1" t="s">
        <v>149</v>
      </c>
    </row>
    <row r="9" spans="1:9" ht="18.75" x14ac:dyDescent="0.35">
      <c r="C9" s="1">
        <v>8</v>
      </c>
      <c r="D9" s="1">
        <f>C9*E2</f>
        <v>-1936</v>
      </c>
      <c r="E9" s="1" t="s">
        <v>152</v>
      </c>
    </row>
    <row r="10" spans="1:9" ht="18.75" x14ac:dyDescent="0.35">
      <c r="C10" s="1">
        <v>2</v>
      </c>
      <c r="D10" s="1">
        <f>-2*H5</f>
        <v>208</v>
      </c>
      <c r="E10" s="1" t="s">
        <v>151</v>
      </c>
    </row>
    <row r="11" spans="1:9" x14ac:dyDescent="0.25">
      <c r="D11" s="1">
        <f>SUM(D8:D10)</f>
        <v>-4092</v>
      </c>
      <c r="E11" s="1" t="s">
        <v>126</v>
      </c>
      <c r="F11" s="1">
        <f>D11/2/44</f>
        <v>-46.5</v>
      </c>
      <c r="G11" s="1" t="s">
        <v>136</v>
      </c>
      <c r="H11" s="6">
        <f>-F11</f>
        <v>46.5</v>
      </c>
      <c r="I11" s="6" t="s">
        <v>127</v>
      </c>
    </row>
    <row r="12" spans="1:9" x14ac:dyDescent="0.25">
      <c r="H12" s="6"/>
      <c r="I12" s="6"/>
    </row>
    <row r="14" spans="1:9" ht="18.75" x14ac:dyDescent="0.25">
      <c r="A14" s="1" t="s">
        <v>146</v>
      </c>
      <c r="G14" s="49" t="s">
        <v>123</v>
      </c>
      <c r="H14" s="1">
        <v>-126</v>
      </c>
    </row>
    <row r="16" spans="1:9" ht="18.75" x14ac:dyDescent="0.35">
      <c r="B16" s="1" t="s">
        <v>147</v>
      </c>
    </row>
    <row r="17" spans="1:11" ht="18.75" x14ac:dyDescent="0.35">
      <c r="A17" s="49" t="s">
        <v>148</v>
      </c>
      <c r="B17" s="80">
        <f>4*12+10</f>
        <v>58</v>
      </c>
      <c r="C17" s="1">
        <v>8</v>
      </c>
      <c r="D17" s="1">
        <f>C17*I2</f>
        <v>-3152</v>
      </c>
      <c r="E17" s="1" t="s">
        <v>149</v>
      </c>
    </row>
    <row r="18" spans="1:11" ht="18.75" x14ac:dyDescent="0.35">
      <c r="C18" s="1">
        <v>10</v>
      </c>
      <c r="D18" s="1">
        <f>C18*G2</f>
        <v>-2860</v>
      </c>
      <c r="E18" s="1" t="s">
        <v>150</v>
      </c>
    </row>
    <row r="19" spans="1:11" ht="18.75" x14ac:dyDescent="0.35">
      <c r="C19" s="1">
        <v>2</v>
      </c>
      <c r="D19" s="1">
        <f>-2*H14</f>
        <v>252</v>
      </c>
      <c r="E19" s="1" t="s">
        <v>151</v>
      </c>
    </row>
    <row r="20" spans="1:11" ht="18.75" x14ac:dyDescent="0.25">
      <c r="D20" s="1">
        <f>SUM(D17:D19)</f>
        <v>-5760</v>
      </c>
      <c r="E20" s="1" t="s">
        <v>126</v>
      </c>
      <c r="F20" s="1">
        <f>D20/2/24</f>
        <v>-120</v>
      </c>
      <c r="G20" s="1" t="s">
        <v>137</v>
      </c>
      <c r="H20" s="6">
        <f>F20</f>
        <v>-120</v>
      </c>
      <c r="I20" s="6" t="s">
        <v>138</v>
      </c>
      <c r="K20" s="1" t="s">
        <v>157</v>
      </c>
    </row>
    <row r="21" spans="1:11" x14ac:dyDescent="0.25">
      <c r="H21" s="6"/>
      <c r="I21" s="6"/>
    </row>
    <row r="23" spans="1:11" x14ac:dyDescent="0.25">
      <c r="A23" s="1" t="s">
        <v>129</v>
      </c>
    </row>
    <row r="25" spans="1:11" ht="18.75" x14ac:dyDescent="0.35">
      <c r="B25" s="1" t="s">
        <v>140</v>
      </c>
    </row>
    <row r="26" spans="1:11" x14ac:dyDescent="0.25">
      <c r="B26" s="81">
        <v>24</v>
      </c>
      <c r="C26" s="1" t="s">
        <v>153</v>
      </c>
      <c r="D26" s="1">
        <f>2*18</f>
        <v>36</v>
      </c>
      <c r="E26" s="1" t="s">
        <v>154</v>
      </c>
    </row>
    <row r="27" spans="1:11" x14ac:dyDescent="0.25">
      <c r="B27" s="81">
        <v>1000</v>
      </c>
      <c r="C27" s="49" t="s">
        <v>139</v>
      </c>
      <c r="D27" s="1">
        <f>1000*D26/24</f>
        <v>1500</v>
      </c>
      <c r="E27" s="1" t="s">
        <v>141</v>
      </c>
      <c r="F27" s="6">
        <v>1.5</v>
      </c>
      <c r="G27" s="6" t="s">
        <v>130</v>
      </c>
    </row>
    <row r="28" spans="1:11" x14ac:dyDescent="0.25">
      <c r="B28" s="81"/>
      <c r="C28" s="49"/>
      <c r="F28" s="6"/>
      <c r="G28" s="6"/>
    </row>
    <row r="30" spans="1:11" ht="18.75" x14ac:dyDescent="0.35">
      <c r="A30" s="2" t="s">
        <v>131</v>
      </c>
      <c r="D30" s="2" t="s">
        <v>122</v>
      </c>
      <c r="F30" s="2">
        <v>0.70299999999999996</v>
      </c>
      <c r="G30" s="2" t="s">
        <v>98</v>
      </c>
      <c r="H30" s="1" t="s">
        <v>135</v>
      </c>
    </row>
    <row r="32" spans="1:11" ht="18.75" x14ac:dyDescent="0.35">
      <c r="B32" s="1" t="s">
        <v>158</v>
      </c>
      <c r="F32" s="1">
        <v>5</v>
      </c>
      <c r="G32" s="1" t="s">
        <v>132</v>
      </c>
      <c r="H32" s="1">
        <f>F30*5</f>
        <v>3.5149999999999997</v>
      </c>
      <c r="I32" s="1" t="s">
        <v>54</v>
      </c>
    </row>
    <row r="33" spans="2:7" ht="18.75" x14ac:dyDescent="0.35">
      <c r="B33" s="1">
        <f>2*(8*12+18)</f>
        <v>228</v>
      </c>
      <c r="C33" s="1" t="s">
        <v>155</v>
      </c>
      <c r="D33" s="1">
        <f>16*(12+2*16)</f>
        <v>704</v>
      </c>
      <c r="E33" s="1" t="s">
        <v>133</v>
      </c>
    </row>
    <row r="34" spans="2:7" ht="18.75" x14ac:dyDescent="0.35">
      <c r="B34" s="1">
        <v>3515</v>
      </c>
      <c r="C34" s="1" t="s">
        <v>155</v>
      </c>
      <c r="D34" s="1">
        <f>B34*D33/B33</f>
        <v>10853.333333333334</v>
      </c>
      <c r="E34" s="1" t="s">
        <v>134</v>
      </c>
      <c r="F34" s="6">
        <v>10.85</v>
      </c>
      <c r="G34" s="6" t="s">
        <v>54</v>
      </c>
    </row>
  </sheetData>
  <phoneticPr fontId="26" type="noConversion"/>
  <pageMargins left="0.25" right="0.25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4C44-1093-4534-B859-584D65150ED1}">
  <dimension ref="A1:K34"/>
  <sheetViews>
    <sheetView tabSelected="1" zoomScale="190" zoomScaleNormal="190" workbookViewId="0">
      <selection activeCell="A2" sqref="A2"/>
    </sheetView>
  </sheetViews>
  <sheetFormatPr defaultRowHeight="15.75" x14ac:dyDescent="0.25"/>
  <cols>
    <col min="1" max="1" width="8.7109375" style="1" customWidth="1"/>
    <col min="2" max="2" width="10.5703125" style="1" customWidth="1"/>
    <col min="3" max="16384" width="9.140625" style="1"/>
  </cols>
  <sheetData>
    <row r="1" spans="1:9" x14ac:dyDescent="0.25">
      <c r="A1" s="6" t="s">
        <v>156</v>
      </c>
    </row>
    <row r="2" spans="1:9" ht="18.75" x14ac:dyDescent="0.35">
      <c r="D2" s="49" t="s">
        <v>142</v>
      </c>
      <c r="E2" s="1">
        <v>-242</v>
      </c>
      <c r="F2" s="49" t="s">
        <v>143</v>
      </c>
      <c r="G2" s="1">
        <v>-286</v>
      </c>
      <c r="H2" s="49" t="s">
        <v>144</v>
      </c>
      <c r="I2" s="1">
        <v>-394</v>
      </c>
    </row>
    <row r="3" spans="1:9" x14ac:dyDescent="0.25">
      <c r="C3" s="49" t="s">
        <v>124</v>
      </c>
      <c r="D3" s="1">
        <v>24</v>
      </c>
      <c r="F3" s="49"/>
      <c r="H3" s="49"/>
    </row>
    <row r="4" spans="1:9" x14ac:dyDescent="0.25">
      <c r="C4" s="49"/>
      <c r="F4" s="49"/>
      <c r="H4" s="49"/>
    </row>
    <row r="5" spans="1:9" x14ac:dyDescent="0.25">
      <c r="A5" s="1" t="s">
        <v>159</v>
      </c>
      <c r="G5" s="49" t="s">
        <v>123</v>
      </c>
      <c r="H5" s="1">
        <v>-126</v>
      </c>
    </row>
    <row r="7" spans="1:9" ht="18.75" x14ac:dyDescent="0.35">
      <c r="B7" s="1" t="s">
        <v>147</v>
      </c>
    </row>
    <row r="8" spans="1:9" ht="18.75" x14ac:dyDescent="0.35">
      <c r="A8" s="49" t="s">
        <v>125</v>
      </c>
      <c r="B8" s="81">
        <f>4*12+10</f>
        <v>58</v>
      </c>
      <c r="C8" s="1">
        <v>8</v>
      </c>
      <c r="D8" s="1">
        <f>C8*I2</f>
        <v>-3152</v>
      </c>
      <c r="E8" s="1" t="s">
        <v>149</v>
      </c>
    </row>
    <row r="9" spans="1:9" ht="18.75" x14ac:dyDescent="0.35">
      <c r="C9" s="1">
        <v>10</v>
      </c>
      <c r="D9" s="1">
        <f>C9*E2</f>
        <v>-2420</v>
      </c>
      <c r="E9" s="1" t="s">
        <v>152</v>
      </c>
    </row>
    <row r="10" spans="1:9" ht="18.75" x14ac:dyDescent="0.35">
      <c r="C10" s="1">
        <v>2</v>
      </c>
      <c r="D10" s="1">
        <f>-2*H5</f>
        <v>252</v>
      </c>
      <c r="E10" s="1" t="s">
        <v>151</v>
      </c>
    </row>
    <row r="11" spans="1:9" x14ac:dyDescent="0.25">
      <c r="D11" s="1">
        <f>SUM(D8:D10)</f>
        <v>-5320</v>
      </c>
      <c r="E11" s="1" t="s">
        <v>126</v>
      </c>
      <c r="F11" s="1">
        <f>D11/2/B8</f>
        <v>-45.862068965517238</v>
      </c>
      <c r="G11" s="1" t="s">
        <v>136</v>
      </c>
      <c r="H11" s="88">
        <f>-F11</f>
        <v>45.862068965517238</v>
      </c>
      <c r="I11" s="6" t="s">
        <v>127</v>
      </c>
    </row>
    <row r="12" spans="1:9" x14ac:dyDescent="0.25">
      <c r="H12" s="6"/>
      <c r="I12" s="6"/>
    </row>
    <row r="14" spans="1:9" ht="18.75" x14ac:dyDescent="0.25">
      <c r="A14" s="1" t="s">
        <v>160</v>
      </c>
      <c r="G14" s="49" t="s">
        <v>123</v>
      </c>
      <c r="H14" s="1">
        <v>-104</v>
      </c>
    </row>
    <row r="16" spans="1:9" ht="18.75" x14ac:dyDescent="0.35">
      <c r="B16" s="1" t="s">
        <v>145</v>
      </c>
    </row>
    <row r="17" spans="1:11" ht="18.75" x14ac:dyDescent="0.35">
      <c r="A17" s="49" t="s">
        <v>148</v>
      </c>
      <c r="B17" s="81">
        <f>3*12+8</f>
        <v>44</v>
      </c>
      <c r="C17" s="1">
        <v>6</v>
      </c>
      <c r="D17" s="1">
        <f>C17*I2</f>
        <v>-2364</v>
      </c>
      <c r="E17" s="1" t="s">
        <v>149</v>
      </c>
    </row>
    <row r="18" spans="1:11" ht="18.75" x14ac:dyDescent="0.35">
      <c r="C18" s="1">
        <v>8</v>
      </c>
      <c r="D18" s="1">
        <f>C18*G2</f>
        <v>-2288</v>
      </c>
      <c r="E18" s="1" t="s">
        <v>150</v>
      </c>
    </row>
    <row r="19" spans="1:11" ht="18.75" x14ac:dyDescent="0.35">
      <c r="C19" s="1">
        <v>2</v>
      </c>
      <c r="D19" s="1">
        <f>-2*H14</f>
        <v>208</v>
      </c>
      <c r="E19" s="1" t="s">
        <v>161</v>
      </c>
    </row>
    <row r="20" spans="1:11" ht="18.75" x14ac:dyDescent="0.25">
      <c r="D20" s="1">
        <f>SUM(D17:D19)</f>
        <v>-4444</v>
      </c>
      <c r="E20" s="1" t="s">
        <v>126</v>
      </c>
      <c r="F20" s="1">
        <f>D20/2/24</f>
        <v>-92.583333333333329</v>
      </c>
      <c r="G20" s="1" t="s">
        <v>137</v>
      </c>
      <c r="H20" s="88">
        <f>-F20</f>
        <v>92.583333333333329</v>
      </c>
      <c r="I20" s="6" t="s">
        <v>138</v>
      </c>
      <c r="K20" s="1" t="s">
        <v>157</v>
      </c>
    </row>
    <row r="21" spans="1:11" x14ac:dyDescent="0.25">
      <c r="H21" s="6"/>
      <c r="I21" s="6"/>
    </row>
    <row r="23" spans="1:11" ht="18.75" x14ac:dyDescent="0.25">
      <c r="A23" s="1" t="s">
        <v>167</v>
      </c>
    </row>
    <row r="25" spans="1:11" ht="18.75" x14ac:dyDescent="0.35">
      <c r="B25" s="1" t="s">
        <v>145</v>
      </c>
    </row>
    <row r="26" spans="1:11" x14ac:dyDescent="0.25">
      <c r="B26" s="81">
        <f>2*24</f>
        <v>48</v>
      </c>
      <c r="C26" s="1" t="s">
        <v>162</v>
      </c>
      <c r="D26" s="1">
        <f>8*18</f>
        <v>144</v>
      </c>
      <c r="E26" s="1" t="s">
        <v>154</v>
      </c>
    </row>
    <row r="27" spans="1:11" x14ac:dyDescent="0.25">
      <c r="B27" s="81">
        <v>8000</v>
      </c>
      <c r="C27" s="49" t="s">
        <v>139</v>
      </c>
      <c r="D27" s="1">
        <f>B27*D26/B26</f>
        <v>24000</v>
      </c>
      <c r="E27" s="1" t="s">
        <v>141</v>
      </c>
      <c r="F27" s="6">
        <f>D27/1000</f>
        <v>24</v>
      </c>
      <c r="G27" s="6" t="s">
        <v>130</v>
      </c>
    </row>
    <row r="28" spans="1:11" x14ac:dyDescent="0.25">
      <c r="B28" s="81"/>
      <c r="C28" s="49"/>
      <c r="F28" s="6"/>
      <c r="G28" s="6"/>
    </row>
    <row r="30" spans="1:11" ht="18.75" x14ac:dyDescent="0.35">
      <c r="A30" s="2" t="s">
        <v>168</v>
      </c>
      <c r="D30" s="2" t="s">
        <v>163</v>
      </c>
      <c r="F30" s="2">
        <v>0.73</v>
      </c>
      <c r="G30" s="2" t="s">
        <v>98</v>
      </c>
      <c r="H30" s="1" t="s">
        <v>135</v>
      </c>
    </row>
    <row r="32" spans="1:11" ht="18.75" x14ac:dyDescent="0.35">
      <c r="B32" s="1" t="s">
        <v>164</v>
      </c>
      <c r="F32" s="1">
        <v>2</v>
      </c>
      <c r="G32" s="1" t="s">
        <v>166</v>
      </c>
      <c r="H32" s="1">
        <f>F30*F32</f>
        <v>1.46</v>
      </c>
      <c r="I32" s="1" t="s">
        <v>54</v>
      </c>
    </row>
    <row r="33" spans="2:7" ht="18.75" x14ac:dyDescent="0.35">
      <c r="B33" s="1">
        <f>2*(10*12+22)</f>
        <v>284</v>
      </c>
      <c r="C33" s="1" t="s">
        <v>165</v>
      </c>
      <c r="D33" s="1">
        <f>20*(12+2*16)</f>
        <v>880</v>
      </c>
      <c r="E33" s="1" t="s">
        <v>133</v>
      </c>
    </row>
    <row r="34" spans="2:7" ht="18.75" x14ac:dyDescent="0.35">
      <c r="B34" s="1">
        <f>H32*1000</f>
        <v>1460</v>
      </c>
      <c r="C34" s="1" t="s">
        <v>165</v>
      </c>
      <c r="D34" s="1">
        <f>B34*D33/B33</f>
        <v>4523.9436619718308</v>
      </c>
      <c r="E34" s="1" t="s">
        <v>134</v>
      </c>
      <c r="F34" s="82">
        <f>D34/1000</f>
        <v>4.5239436619718312</v>
      </c>
      <c r="G34" s="6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adatok</vt:lpstr>
      <vt:lpstr>Termo1</vt:lpstr>
      <vt:lpstr>Termo1_meg</vt:lpstr>
      <vt:lpstr>Termo2</vt:lpstr>
      <vt:lpstr>Termo2_meg</vt:lpstr>
      <vt:lpstr>ZH1megoldás</vt:lpstr>
      <vt:lpstr>ZH1potmeg</vt:lpstr>
      <vt:lpstr>Termo1_meg!Nyomtatási_terület</vt:lpstr>
      <vt:lpstr>Termo2_meg!Nyomtatási_terület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Gyarmati Regina</dc:creator>
  <cp:lastModifiedBy>Tolner László</cp:lastModifiedBy>
  <cp:lastPrinted>2021-09-27T17:52:48Z</cp:lastPrinted>
  <dcterms:created xsi:type="dcterms:W3CDTF">2020-09-22T12:29:17Z</dcterms:created>
  <dcterms:modified xsi:type="dcterms:W3CDTF">2021-12-17T17:39:23Z</dcterms:modified>
</cp:coreProperties>
</file>