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F:\TL2021\Oktatás\ŐSZI FÉLÉV\Kemalap\4.gyak\"/>
    </mc:Choice>
  </mc:AlternateContent>
  <xr:revisionPtr revIDLastSave="0" documentId="13_ncr:1_{55C21472-1571-4988-A391-379EA9CB1115}" xr6:coauthVersionLast="47" xr6:coauthVersionMax="47" xr10:uidLastSave="{00000000-0000-0000-0000-000000000000}"/>
  <bookViews>
    <workbookView xWindow="-120" yWindow="-120" windowWidth="29040" windowHeight="16440" firstSheet="4" activeTab="8" xr2:uid="{00000000-000D-0000-FFFF-FFFF00000000}"/>
  </bookViews>
  <sheets>
    <sheet name="gy4-adat" sheetId="1" r:id="rId1"/>
    <sheet name="PbSO4" sheetId="9" r:id="rId2"/>
    <sheet name="PbSO4meg" sheetId="2" r:id="rId3"/>
    <sheet name="foszfát" sheetId="10" r:id="rId4"/>
    <sheet name="foszfátmeg" sheetId="3" r:id="rId5"/>
    <sheet name="vas2-3" sheetId="8" r:id="rId6"/>
    <sheet name="vas2-3meg" sheetId="7" r:id="rId7"/>
    <sheet name="ZH4meg" sheetId="11" r:id="rId8"/>
    <sheet name="ZH4potmeg" sheetId="13" r:id="rId9"/>
    <sheet name="ZH4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3" i="13" l="1"/>
  <c r="C31" i="13"/>
  <c r="F27" i="13"/>
  <c r="C18" i="13"/>
  <c r="E12" i="13"/>
  <c r="C11" i="13"/>
  <c r="I5" i="13"/>
  <c r="C40" i="13"/>
  <c r="D40" i="13" s="1"/>
  <c r="C39" i="13"/>
  <c r="D39" i="13" s="1"/>
  <c r="C36" i="13"/>
  <c r="C19" i="13"/>
  <c r="E19" i="13" s="1"/>
  <c r="G19" i="13" s="1"/>
  <c r="E18" i="13"/>
  <c r="G18" i="13" s="1"/>
  <c r="B22" i="13" s="1"/>
  <c r="H17" i="13"/>
  <c r="D17" i="13"/>
  <c r="E15" i="13"/>
  <c r="H25" i="13" s="1"/>
  <c r="I11" i="13"/>
  <c r="K11" i="13" s="1"/>
  <c r="E9" i="13"/>
  <c r="E8" i="12"/>
  <c r="C19" i="11"/>
  <c r="E19" i="11" s="1"/>
  <c r="G19" i="11" s="1"/>
  <c r="E18" i="11"/>
  <c r="G18" i="11"/>
  <c r="B22" i="11" s="1"/>
  <c r="E15" i="11"/>
  <c r="H25" i="11" s="1"/>
  <c r="H17" i="11"/>
  <c r="D17" i="11"/>
  <c r="C11" i="11"/>
  <c r="I11" i="11" s="1"/>
  <c r="K11" i="11" s="1"/>
  <c r="E2" i="12"/>
  <c r="E5" i="12" s="1"/>
  <c r="E2" i="11"/>
  <c r="E5" i="11" s="1"/>
  <c r="I5" i="11" s="1"/>
  <c r="D6" i="11" s="1"/>
  <c r="C11" i="12"/>
  <c r="C40" i="11"/>
  <c r="D40" i="11" s="1"/>
  <c r="C39" i="11"/>
  <c r="D39" i="11" s="1"/>
  <c r="C31" i="11"/>
  <c r="C36" i="11" s="1"/>
  <c r="I16" i="10"/>
  <c r="G15" i="10"/>
  <c r="G11" i="10"/>
  <c r="J7" i="10"/>
  <c r="D10" i="10"/>
  <c r="C10" i="10"/>
  <c r="D7" i="10"/>
  <c r="F7" i="10" s="1"/>
  <c r="H7" i="10" s="1"/>
  <c r="D6" i="10"/>
  <c r="I4" i="10"/>
  <c r="E4" i="10"/>
  <c r="H6" i="10" s="1"/>
  <c r="J10" i="9"/>
  <c r="C10" i="9"/>
  <c r="G12" i="13" l="1"/>
  <c r="I12" i="13" s="1"/>
  <c r="C22" i="13"/>
  <c r="I19" i="13"/>
  <c r="E40" i="13"/>
  <c r="E39" i="13"/>
  <c r="E5" i="13"/>
  <c r="D6" i="13" s="1"/>
  <c r="H6" i="13" s="1"/>
  <c r="J6" i="13" s="1"/>
  <c r="I19" i="11"/>
  <c r="C22" i="11"/>
  <c r="E9" i="11"/>
  <c r="E12" i="11" s="1"/>
  <c r="G12" i="11" s="1"/>
  <c r="I12" i="11" s="1"/>
  <c r="H6" i="11"/>
  <c r="J6" i="11" s="1"/>
  <c r="E40" i="11"/>
  <c r="E39" i="11"/>
  <c r="F3" i="10"/>
  <c r="I13" i="10" s="1"/>
  <c r="M2" i="9"/>
  <c r="L2" i="9"/>
  <c r="E2" i="9"/>
  <c r="E4" i="9" s="1"/>
  <c r="J7" i="8"/>
  <c r="J1" i="8"/>
  <c r="E12" i="7"/>
  <c r="I12" i="7" s="1"/>
  <c r="E5" i="7"/>
  <c r="I5" i="7" s="1"/>
  <c r="J8" i="7"/>
  <c r="C10" i="7" s="1"/>
  <c r="J1" i="7"/>
  <c r="C3" i="7" s="1"/>
  <c r="B30" i="7"/>
  <c r="C30" i="7" s="1"/>
  <c r="D30" i="7" s="1"/>
  <c r="B29" i="7"/>
  <c r="C29" i="7" s="1"/>
  <c r="B28" i="7"/>
  <c r="C28" i="7" s="1"/>
  <c r="B27" i="7"/>
  <c r="C27" i="7" s="1"/>
  <c r="B26" i="7"/>
  <c r="C26" i="7" s="1"/>
  <c r="D26" i="7" s="1"/>
  <c r="B25" i="7"/>
  <c r="C25" i="7" s="1"/>
  <c r="B24" i="7"/>
  <c r="C24" i="7" s="1"/>
  <c r="B23" i="7"/>
  <c r="C23" i="7" s="1"/>
  <c r="B22" i="7"/>
  <c r="C22" i="7" s="1"/>
  <c r="D22" i="7" s="1"/>
  <c r="B21" i="7"/>
  <c r="C21" i="7" s="1"/>
  <c r="B20" i="7"/>
  <c r="C20" i="7" s="1"/>
  <c r="B19" i="7"/>
  <c r="C19" i="7" s="1"/>
  <c r="B18" i="7"/>
  <c r="C18" i="7" s="1"/>
  <c r="D18" i="7" s="1"/>
  <c r="B17" i="7"/>
  <c r="C17" i="7" s="1"/>
  <c r="C12" i="7"/>
  <c r="C5" i="7"/>
  <c r="G5" i="7"/>
  <c r="H28" i="13" l="1"/>
  <c r="F23" i="13"/>
  <c r="F23" i="11"/>
  <c r="F27" i="11"/>
  <c r="H28" i="11" s="1"/>
  <c r="F5" i="9"/>
  <c r="D6" i="9" s="1"/>
  <c r="H6" i="9" s="1"/>
  <c r="J6" i="9" s="1"/>
  <c r="E11" i="9"/>
  <c r="G11" i="9" s="1"/>
  <c r="I11" i="9" s="1"/>
  <c r="G12" i="7"/>
  <c r="K5" i="7"/>
  <c r="D20" i="7"/>
  <c r="D24" i="7"/>
  <c r="D28" i="7"/>
  <c r="K12" i="7"/>
  <c r="D17" i="7"/>
  <c r="D21" i="7"/>
  <c r="D25" i="7"/>
  <c r="D29" i="7"/>
  <c r="D19" i="7"/>
  <c r="D23" i="7"/>
  <c r="D27" i="7"/>
  <c r="F21" i="7" l="1"/>
  <c r="F25" i="7"/>
  <c r="F29" i="7"/>
  <c r="F23" i="7"/>
  <c r="F17" i="7"/>
  <c r="F20" i="7"/>
  <c r="F24" i="7"/>
  <c r="F28" i="7"/>
  <c r="F18" i="7"/>
  <c r="F22" i="7"/>
  <c r="F26" i="7"/>
  <c r="F30" i="7"/>
  <c r="F19" i="7"/>
  <c r="F27" i="7"/>
  <c r="E22" i="7"/>
  <c r="E19" i="7"/>
  <c r="E21" i="7"/>
  <c r="E23" i="7"/>
  <c r="E25" i="7"/>
  <c r="E27" i="7"/>
  <c r="E29" i="7"/>
  <c r="E17" i="7"/>
  <c r="E18" i="7"/>
  <c r="E20" i="7"/>
  <c r="E24" i="7"/>
  <c r="E26" i="7"/>
  <c r="E28" i="7"/>
  <c r="E30" i="7"/>
  <c r="F3" i="3" l="1"/>
  <c r="K9" i="3" s="1"/>
  <c r="J5" i="3"/>
  <c r="E5" i="3"/>
  <c r="K4" i="3"/>
  <c r="G4" i="3"/>
  <c r="C9" i="2"/>
  <c r="H9" i="2" s="1"/>
  <c r="J9" i="2" s="1"/>
  <c r="E10" i="2" s="1"/>
  <c r="G10" i="2" s="1"/>
  <c r="I10" i="2" s="1"/>
  <c r="M2" i="2"/>
  <c r="L2" i="2"/>
  <c r="E2" i="2"/>
  <c r="E4" i="2" s="1"/>
  <c r="I4" i="2" s="1"/>
  <c r="K4" i="2" s="1"/>
  <c r="D5" i="2" s="1"/>
  <c r="H5" i="2" s="1"/>
  <c r="J5" i="2" s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" i="1"/>
  <c r="G5" i="3" l="1"/>
  <c r="F7" i="3" s="1"/>
  <c r="L5" i="3"/>
  <c r="K8" i="3"/>
  <c r="M7" i="3" l="1"/>
  <c r="I8" i="3" s="1"/>
  <c r="I9" i="3" s="1"/>
  <c r="I10" i="3" s="1"/>
  <c r="K10" i="3" s="1"/>
</calcChain>
</file>

<file path=xl/sharedStrings.xml><?xml version="1.0" encoding="utf-8"?>
<sst xmlns="http://schemas.openxmlformats.org/spreadsheetml/2006/main" count="434" uniqueCount="231">
  <si>
    <t>pL</t>
  </si>
  <si>
    <t>Vegyület</t>
  </si>
  <si>
    <t>Oldható-sági szor-zata (L)</t>
  </si>
  <si>
    <t>Oldható-sága (g/100g víz)</t>
  </si>
  <si>
    <t>AgCl</t>
  </si>
  <si>
    <t>AgNO3</t>
  </si>
  <si>
    <t>NH3</t>
  </si>
  <si>
    <r>
      <t>Al(OH)</t>
    </r>
    <r>
      <rPr>
        <vertAlign val="subscript"/>
        <sz val="10"/>
        <rFont val="Arial CE"/>
        <charset val="238"/>
      </rPr>
      <t>3</t>
    </r>
  </si>
  <si>
    <t>CuSO4</t>
  </si>
  <si>
    <t>CO2</t>
  </si>
  <si>
    <r>
      <t>ALPO</t>
    </r>
    <r>
      <rPr>
        <vertAlign val="subscript"/>
        <sz val="10"/>
        <rFont val="Arial CE"/>
        <charset val="238"/>
      </rPr>
      <t>4</t>
    </r>
  </si>
  <si>
    <t>FeCl3</t>
  </si>
  <si>
    <t>HCl</t>
  </si>
  <si>
    <r>
      <t>AsS</t>
    </r>
    <r>
      <rPr>
        <vertAlign val="subscript"/>
        <sz val="10"/>
        <rFont val="Arial CE"/>
        <charset val="238"/>
      </rPr>
      <t>3</t>
    </r>
  </si>
  <si>
    <t>KMnO4</t>
  </si>
  <si>
    <t>SO2</t>
  </si>
  <si>
    <t>BaSO4</t>
  </si>
  <si>
    <t>KNO3</t>
  </si>
  <si>
    <r>
      <t>CaCO</t>
    </r>
    <r>
      <rPr>
        <vertAlign val="subscript"/>
        <sz val="10"/>
        <rFont val="Arial CE"/>
        <charset val="238"/>
      </rPr>
      <t>3</t>
    </r>
  </si>
  <si>
    <t>NH4NO3</t>
  </si>
  <si>
    <r>
      <t>Ca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</si>
  <si>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t>NaCl</t>
  </si>
  <si>
    <r>
      <t>CaHPO</t>
    </r>
    <r>
      <rPr>
        <vertAlign val="subscript"/>
        <sz val="10"/>
        <rFont val="Arial CE"/>
        <charset val="238"/>
      </rPr>
      <t>4</t>
    </r>
  </si>
  <si>
    <t>NaOH</t>
  </si>
  <si>
    <r>
      <t>CaSO</t>
    </r>
    <r>
      <rPr>
        <vertAlign val="subscript"/>
        <sz val="10"/>
        <rFont val="Arial CE"/>
        <charset val="238"/>
      </rPr>
      <t>4</t>
    </r>
  </si>
  <si>
    <r>
      <t>CdCO</t>
    </r>
    <r>
      <rPr>
        <vertAlign val="subscript"/>
        <sz val="10"/>
        <rFont val="Arial CE"/>
        <charset val="238"/>
      </rPr>
      <t>3</t>
    </r>
  </si>
  <si>
    <r>
      <t>Cd(OH)</t>
    </r>
    <r>
      <rPr>
        <vertAlign val="subscript"/>
        <sz val="10"/>
        <rFont val="Arial CE"/>
        <charset val="238"/>
      </rPr>
      <t>2</t>
    </r>
  </si>
  <si>
    <r>
      <t>Cd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</si>
  <si>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r>
      <t>CuCO</t>
    </r>
    <r>
      <rPr>
        <vertAlign val="subscript"/>
        <sz val="10"/>
        <rFont val="Arial CE"/>
        <charset val="238"/>
      </rPr>
      <t>3</t>
    </r>
  </si>
  <si>
    <r>
      <t>Cu(OH)</t>
    </r>
    <r>
      <rPr>
        <vertAlign val="subscript"/>
        <sz val="10"/>
        <rFont val="Arial CE"/>
        <charset val="238"/>
      </rPr>
      <t>2</t>
    </r>
  </si>
  <si>
    <t>Ivóvíz határértékek (ppm)</t>
  </si>
  <si>
    <t>mg/l</t>
  </si>
  <si>
    <r>
      <t>Cu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</si>
  <si>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t>Összes higany</t>
  </si>
  <si>
    <t>CuS</t>
  </si>
  <si>
    <t>Összes kadmium</t>
  </si>
  <si>
    <r>
      <t>Fe(OH)</t>
    </r>
    <r>
      <rPr>
        <vertAlign val="subscript"/>
        <sz val="10"/>
        <rFont val="Arial CE"/>
        <charset val="238"/>
      </rPr>
      <t>2</t>
    </r>
  </si>
  <si>
    <t>Összes réz</t>
  </si>
  <si>
    <r>
      <t>Fe(OH)</t>
    </r>
    <r>
      <rPr>
        <vertAlign val="subscript"/>
        <sz val="10"/>
        <rFont val="Arial CE"/>
        <charset val="238"/>
      </rPr>
      <t>3</t>
    </r>
  </si>
  <si>
    <t>Összes nikkel</t>
  </si>
  <si>
    <r>
      <t>FePO</t>
    </r>
    <r>
      <rPr>
        <vertAlign val="subscript"/>
        <sz val="10"/>
        <rFont val="Arial CE"/>
        <charset val="238"/>
      </rPr>
      <t>4</t>
    </r>
  </si>
  <si>
    <t>Összes ólom</t>
  </si>
  <si>
    <t>HgS</t>
  </si>
  <si>
    <t>Összes króm</t>
  </si>
  <si>
    <r>
      <t>PbCl</t>
    </r>
    <r>
      <rPr>
        <vertAlign val="subscript"/>
        <sz val="10"/>
        <rFont val="Arial CE"/>
        <charset val="238"/>
      </rPr>
      <t>2</t>
    </r>
  </si>
  <si>
    <r>
      <t>Pb(OH)</t>
    </r>
    <r>
      <rPr>
        <vertAlign val="subscript"/>
        <sz val="10"/>
        <rFont val="Arial CE"/>
        <charset val="238"/>
      </rPr>
      <t>2</t>
    </r>
  </si>
  <si>
    <t>Összes arzén</t>
  </si>
  <si>
    <r>
      <t>Pb</t>
    </r>
    <r>
      <rPr>
        <vertAlign val="subscript"/>
        <sz val="10"/>
        <rFont val="Arial CE"/>
        <charset val="238"/>
      </rPr>
      <t>3</t>
    </r>
    <r>
      <rPr>
        <sz val="11"/>
        <color theme="1"/>
        <rFont val="Calibri"/>
        <family val="2"/>
        <scheme val="minor"/>
      </rPr>
      <t>(PO</t>
    </r>
    <r>
      <rPr>
        <vertAlign val="subscript"/>
        <sz val="10"/>
        <rFont val="Arial CE"/>
        <charset val="238"/>
      </rPr>
      <t>4</t>
    </r>
    <r>
      <rPr>
        <sz val="11"/>
        <color theme="1"/>
        <rFont val="Calibri"/>
        <family val="2"/>
        <scheme val="minor"/>
      </rPr>
      <t>)</t>
    </r>
    <r>
      <rPr>
        <vertAlign val="subscript"/>
        <sz val="10"/>
        <rFont val="Arial CE"/>
        <charset val="238"/>
      </rPr>
      <t>2</t>
    </r>
  </si>
  <si>
    <r>
      <t>PbSO</t>
    </r>
    <r>
      <rPr>
        <vertAlign val="subscript"/>
        <sz val="10"/>
        <rFont val="Arial CE"/>
        <charset val="238"/>
      </rPr>
      <t>4</t>
    </r>
  </si>
  <si>
    <t>PbS</t>
  </si>
  <si>
    <r>
      <t>Co(OH)</t>
    </r>
    <r>
      <rPr>
        <vertAlign val="subscript"/>
        <sz val="10"/>
        <rFont val="Arial CE"/>
        <charset val="238"/>
      </rPr>
      <t>2</t>
    </r>
  </si>
  <si>
    <r>
      <t>Zn(OH)</t>
    </r>
    <r>
      <rPr>
        <vertAlign val="subscript"/>
        <sz val="10"/>
        <rFont val="Arial CE"/>
        <charset val="238"/>
      </rPr>
      <t>2</t>
    </r>
  </si>
  <si>
    <t>lovén</t>
  </si>
  <si>
    <t>angol,szlovén</t>
  </si>
  <si>
    <t>spanyol</t>
  </si>
  <si>
    <t>kínai,vzsk</t>
  </si>
  <si>
    <t>Wikipédia</t>
  </si>
  <si>
    <t>1.</t>
  </si>
  <si>
    <t>mol/l</t>
  </si>
  <si>
    <t>2.</t>
  </si>
  <si>
    <r>
      <t>Mennyi a 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 xml:space="preserve"> koncentrációja (mol/l, mg/l) tiszta vízben szilárd PbSO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 xml:space="preserve"> jelenlétében? </t>
    </r>
  </si>
  <si>
    <r>
      <t>Oldhatósági szorzat L(PbSO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>)=</t>
    </r>
  </si>
  <si>
    <t>Atomtömegek:</t>
  </si>
  <si>
    <t xml:space="preserve"> Pb-207, S-32, O-16 g/mol</t>
  </si>
  <si>
    <r>
      <t>L(PbSO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>)=</t>
    </r>
  </si>
  <si>
    <r>
      <t xml:space="preserve"> [Pb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>]*[SO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]  =</t>
    </r>
  </si>
  <si>
    <r>
      <t>[Pb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>] = [SO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] = gyök(</t>
    </r>
  </si>
  <si>
    <t>)   =</t>
  </si>
  <si>
    <r>
      <t xml:space="preserve"> 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 xml:space="preserve"> koncentráció =</t>
    </r>
  </si>
  <si>
    <t>mol/l  *</t>
  </si>
  <si>
    <t>g/mol =</t>
  </si>
  <si>
    <t>g/l  =</t>
  </si>
  <si>
    <t>ivóvíz határérték</t>
  </si>
  <si>
    <r>
      <t>Mennyi a 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 xml:space="preserve"> koncentrációja (mol/l, mg/l) 8060 mg/l szulfát tartalmú vízben szilárd PbSO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 xml:space="preserve"> jelenlétében? </t>
    </r>
  </si>
  <si>
    <r>
      <t>M(SO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) =</t>
    </r>
  </si>
  <si>
    <t>g/mol</t>
  </si>
  <si>
    <r>
      <t>[SO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] =</t>
    </r>
  </si>
  <si>
    <t>g/l   /</t>
  </si>
  <si>
    <t>g/mol  =</t>
  </si>
  <si>
    <t>mol/l  =</t>
  </si>
  <si>
    <t>g/l =</t>
  </si>
  <si>
    <t>mg/l ólomkoncentráció</t>
  </si>
  <si>
    <t>Hány ppm lesz, ha</t>
  </si>
  <si>
    <t xml:space="preserve"> - x</t>
  </si>
  <si>
    <t xml:space="preserve"> + x</t>
  </si>
  <si>
    <t xml:space="preserve">  *   x    </t>
  </si>
  <si>
    <t xml:space="preserve"> = 0</t>
  </si>
  <si>
    <t>x =</t>
  </si>
  <si>
    <t xml:space="preserve"> ppm.     </t>
  </si>
  <si>
    <t xml:space="preserve">  Atomtömegek: Fe-56, Cl-35,5, P-31, O-16)</t>
  </si>
  <si>
    <r>
      <t>Oldhatósági szorzat L(FePO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>)=</t>
    </r>
  </si>
  <si>
    <t xml:space="preserve"> x</t>
  </si>
  <si>
    <t xml:space="preserve"> +x ) * x = </t>
  </si>
  <si>
    <r>
      <t>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szennyvíz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koncentrációja</t>
    </r>
  </si>
  <si>
    <r>
      <t xml:space="preserve"> kg FeCl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-at adunk hozzá?</t>
    </r>
  </si>
  <si>
    <r>
      <t>M(PO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---</t>
    </r>
    <r>
      <rPr>
        <sz val="12"/>
        <rFont val="Times New Roman"/>
        <family val="1"/>
        <charset val="238"/>
      </rPr>
      <t>) =</t>
    </r>
  </si>
  <si>
    <r>
      <t>M(FeCl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) =</t>
    </r>
  </si>
  <si>
    <r>
      <t>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= </t>
    </r>
  </si>
  <si>
    <r>
      <t>g/dm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 =&gt;</t>
    </r>
  </si>
  <si>
    <r>
      <t>mol/dm</t>
    </r>
    <r>
      <rPr>
        <vertAlign val="superscript"/>
        <sz val="12"/>
        <rFont val="Times New Roman"/>
        <family val="1"/>
        <charset val="238"/>
      </rPr>
      <t>3</t>
    </r>
  </si>
  <si>
    <r>
      <t xml:space="preserve"> [FeCl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] =</t>
    </r>
  </si>
  <si>
    <r>
      <t>g/dm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  =&gt;</t>
    </r>
  </si>
  <si>
    <r>
      <t xml:space="preserve">  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+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+ 3*Cl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=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  +   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   +  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  +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---</t>
    </r>
  </si>
  <si>
    <r>
      <t xml:space="preserve"> 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 =</t>
    </r>
  </si>
  <si>
    <r>
      <rPr>
        <b/>
        <sz val="12"/>
        <rFont val="Times New Roman"/>
        <family val="1"/>
        <charset val="238"/>
      </rPr>
      <t>[PO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  <r>
      <rPr>
        <b/>
        <sz val="12"/>
        <rFont val="Times New Roman"/>
        <family val="1"/>
        <charset val="238"/>
      </rPr>
      <t>]</t>
    </r>
    <r>
      <rPr>
        <sz val="12"/>
        <rFont val="Times New Roman"/>
        <family val="1"/>
        <charset val="238"/>
      </rPr>
      <t xml:space="preserve"> =</t>
    </r>
  </si>
  <si>
    <r>
      <rPr>
        <b/>
        <sz val="12"/>
        <rFont val="Times New Roman"/>
        <family val="1"/>
        <charset val="238"/>
      </rPr>
      <t>[Fe</t>
    </r>
    <r>
      <rPr>
        <b/>
        <vertAlign val="superscript"/>
        <sz val="12"/>
        <rFont val="Times New Roman"/>
        <family val="1"/>
        <charset val="238"/>
      </rPr>
      <t>+++</t>
    </r>
    <r>
      <rPr>
        <b/>
        <sz val="12"/>
        <rFont val="Times New Roman"/>
        <family val="1"/>
        <charset val="238"/>
      </rPr>
      <t>]</t>
    </r>
    <r>
      <rPr>
        <sz val="12"/>
        <rFont val="Times New Roman"/>
        <family val="1"/>
        <charset val="238"/>
      </rPr>
      <t xml:space="preserve">  =</t>
    </r>
  </si>
  <si>
    <r>
      <t xml:space="preserve"> [FeCl</t>
    </r>
    <r>
      <rPr>
        <vertAlign val="sub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>] -</t>
    </r>
  </si>
  <si>
    <r>
      <rPr>
        <b/>
        <sz val="12"/>
        <rFont val="Times New Roman"/>
        <family val="1"/>
        <charset val="238"/>
      </rPr>
      <t>[Fe</t>
    </r>
    <r>
      <rPr>
        <b/>
        <vertAlign val="superscript"/>
        <sz val="12"/>
        <rFont val="Times New Roman"/>
        <family val="1"/>
        <charset val="238"/>
      </rPr>
      <t>+++</t>
    </r>
    <r>
      <rPr>
        <b/>
        <sz val="12"/>
        <rFont val="Times New Roman"/>
        <family val="1"/>
        <charset val="238"/>
      </rPr>
      <t>] * [PO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  <r>
      <rPr>
        <b/>
        <sz val="12"/>
        <rFont val="Times New Roman"/>
        <family val="1"/>
        <charset val="238"/>
      </rPr>
      <t xml:space="preserve">] </t>
    </r>
    <r>
      <rPr>
        <sz val="12"/>
        <rFont val="Times New Roman"/>
        <family val="1"/>
        <charset val="238"/>
      </rPr>
      <t>= (</t>
    </r>
  </si>
  <si>
    <r>
      <t>x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+ </t>
    </r>
  </si>
  <si>
    <r>
      <t>mg/dm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- ppm  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</si>
  <si>
    <t>3.</t>
  </si>
  <si>
    <t>pH</t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</si>
  <si>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 xml:space="preserve">] </t>
    </r>
  </si>
  <si>
    <r>
      <t xml:space="preserve"> </t>
    </r>
    <r>
      <rPr>
        <sz val="12"/>
        <rFont val="Times New Roman"/>
        <family val="1"/>
        <charset val="238"/>
      </rPr>
      <t>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    </t>
    </r>
  </si>
  <si>
    <r>
      <t>Határozza meg az Fe(OH)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oldhatóságának pH függését!</t>
    </r>
  </si>
  <si>
    <r>
      <t>L(Fe(OH)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) = </t>
    </r>
  </si>
  <si>
    <r>
      <t>=[Fe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</si>
  <si>
    <r>
      <t>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 xml:space="preserve">] = </t>
    </r>
  </si>
  <si>
    <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 = 10</t>
    </r>
    <r>
      <rPr>
        <vertAlign val="superscript"/>
        <sz val="12"/>
        <color theme="1"/>
        <rFont val="Times New Roman"/>
        <family val="1"/>
        <charset val="238"/>
      </rPr>
      <t>-14</t>
    </r>
    <r>
      <rPr>
        <sz val="12"/>
        <color theme="1"/>
        <rFont val="Times New Roman"/>
        <family val="1"/>
        <charset val="238"/>
      </rPr>
      <t xml:space="preserve"> / [H</t>
    </r>
    <r>
      <rPr>
        <vertAlign val="superscript"/>
        <sz val="12"/>
        <color theme="1"/>
        <rFont val="Times New Roman"/>
        <family val="1"/>
        <charset val="238"/>
      </rPr>
      <t>+</t>
    </r>
    <r>
      <rPr>
        <sz val="12"/>
        <color theme="1"/>
        <rFont val="Times New Roman"/>
        <family val="1"/>
        <charset val="238"/>
      </rPr>
      <t>]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</si>
  <si>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 =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</si>
  <si>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/ </t>
    </r>
  </si>
  <si>
    <t xml:space="preserve">     =</t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</si>
  <si>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42</t>
    </r>
    <r>
      <rPr>
        <sz val="12"/>
        <color rgb="FF000000"/>
        <rFont val="Times New Roman"/>
        <family val="1"/>
        <charset val="238"/>
      </rPr>
      <t xml:space="preserve">    =</t>
    </r>
  </si>
  <si>
    <r>
      <t>Határozza meg az Fe(OH)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 oldhatóságának pH függését!</t>
    </r>
  </si>
  <si>
    <r>
      <t>L(Fe(OH)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 xml:space="preserve">) = </t>
    </r>
  </si>
  <si>
    <r>
      <t>=[Fe</t>
    </r>
    <r>
      <rPr>
        <vertAlign val="superscript"/>
        <sz val="12"/>
        <color theme="1"/>
        <rFont val="Times New Roman"/>
        <family val="1"/>
        <charset val="238"/>
      </rPr>
      <t>+++</t>
    </r>
    <r>
      <rPr>
        <sz val="12"/>
        <color theme="1"/>
        <rFont val="Times New Roman"/>
        <family val="1"/>
        <charset val="238"/>
      </rPr>
      <t>]*[OH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3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</si>
  <si>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+++</t>
    </r>
    <r>
      <rPr>
        <sz val="12"/>
        <color theme="1"/>
        <rFont val="Times New Roman"/>
        <family val="1"/>
        <charset val="238"/>
      </rPr>
      <t>] =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</si>
  <si>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/ </t>
    </r>
  </si>
  <si>
    <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3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42</t>
    </r>
    <r>
      <rPr>
        <sz val="12"/>
        <color rgb="FF000000"/>
        <rFont val="Times New Roman"/>
        <family val="1"/>
        <charset val="238"/>
      </rPr>
      <t xml:space="preserve">    =</t>
    </r>
  </si>
  <si>
    <t>Ábrázolja a fenti két összefüggést közös ábrán!</t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</si>
  <si>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3</t>
    </r>
  </si>
  <si>
    <r>
      <t>[Fe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] </t>
    </r>
  </si>
  <si>
    <r>
      <t>[Fe</t>
    </r>
    <r>
      <rPr>
        <vertAlign val="superscript"/>
        <sz val="12"/>
        <color rgb="FF000000"/>
        <rFont val="Times New Roman"/>
        <family val="1"/>
        <charset val="238"/>
      </rPr>
      <t>+++</t>
    </r>
    <r>
      <rPr>
        <sz val="12"/>
        <color rgb="FF000000"/>
        <rFont val="Times New Roman"/>
        <family val="1"/>
        <charset val="238"/>
      </rPr>
      <t>]</t>
    </r>
  </si>
  <si>
    <r>
      <t>[Fe</t>
    </r>
    <r>
      <rPr>
        <b/>
        <vertAlign val="superscript"/>
        <sz val="12"/>
        <color theme="1"/>
        <rFont val="Times New Roman"/>
        <family val="1"/>
        <charset val="238"/>
      </rPr>
      <t>+++</t>
    </r>
    <r>
      <rPr>
        <b/>
        <sz val="12"/>
        <color theme="1"/>
        <rFont val="Times New Roman"/>
        <family val="1"/>
        <charset val="238"/>
      </rPr>
      <t>] =</t>
    </r>
  </si>
  <si>
    <r>
      <t xml:space="preserve"> *</t>
    </r>
    <r>
      <rPr>
        <b/>
        <sz val="12"/>
        <rFont val="Times New Roman"/>
        <family val="1"/>
        <charset val="238"/>
      </rPr>
      <t xml:space="preserve"> 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</t>
    </r>
    <r>
      <rPr>
        <b/>
        <vertAlign val="superscript"/>
        <sz val="12"/>
        <rFont val="Times New Roman"/>
        <family val="1"/>
        <charset val="238"/>
      </rPr>
      <t xml:space="preserve">3 </t>
    </r>
    <r>
      <rPr>
        <b/>
        <sz val="12"/>
        <color rgb="FF000000"/>
        <rFont val="Times New Roman"/>
        <family val="1"/>
        <charset val="238"/>
      </rPr>
      <t xml:space="preserve">    </t>
    </r>
  </si>
  <si>
    <r>
      <t>[Fe</t>
    </r>
    <r>
      <rPr>
        <b/>
        <vertAlign val="superscript"/>
        <sz val="12"/>
        <color theme="1"/>
        <rFont val="Times New Roman"/>
        <family val="1"/>
        <charset val="238"/>
      </rPr>
      <t>++</t>
    </r>
    <r>
      <rPr>
        <b/>
        <sz val="12"/>
        <color theme="1"/>
        <rFont val="Times New Roman"/>
        <family val="1"/>
        <charset val="238"/>
      </rPr>
      <t>] =</t>
    </r>
  </si>
  <si>
    <r>
      <t xml:space="preserve"> *</t>
    </r>
    <r>
      <rPr>
        <b/>
        <sz val="12"/>
        <rFont val="Times New Roman"/>
        <family val="1"/>
        <charset val="238"/>
      </rPr>
      <t xml:space="preserve"> 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</t>
    </r>
    <r>
      <rPr>
        <b/>
        <vertAlign val="superscript"/>
        <sz val="12"/>
        <rFont val="Times New Roman"/>
        <family val="1"/>
        <charset val="238"/>
      </rPr>
      <t xml:space="preserve">2 </t>
    </r>
    <r>
      <rPr>
        <b/>
        <sz val="12"/>
        <color rgb="FF000000"/>
        <rFont val="Times New Roman"/>
        <family val="1"/>
        <charset val="238"/>
      </rPr>
      <t xml:space="preserve">    </t>
    </r>
  </si>
  <si>
    <r>
      <t>[Pb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>] = L(PbSO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scheme val="minor"/>
      </rPr>
      <t>) / [SO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]  =</t>
    </r>
  </si>
  <si>
    <r>
      <t xml:space="preserve"> [Pb</t>
    </r>
    <r>
      <rPr>
        <vertAlign val="superscript"/>
        <sz val="11"/>
        <color theme="1"/>
        <rFont val="Calibri"/>
        <family val="2"/>
        <charset val="238"/>
        <scheme val="minor"/>
      </rPr>
      <t>++</t>
    </r>
    <r>
      <rPr>
        <sz val="11"/>
        <color theme="1"/>
        <rFont val="Calibri"/>
        <family val="2"/>
        <scheme val="minor"/>
      </rPr>
      <t>]</t>
    </r>
    <r>
      <rPr>
        <sz val="11"/>
        <color theme="1"/>
        <rFont val="Calibri"/>
        <family val="2"/>
        <scheme val="minor"/>
      </rPr>
      <t xml:space="preserve">  =</t>
    </r>
  </si>
  <si>
    <r>
      <t xml:space="preserve"> [SO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</t>
    </r>
    <r>
      <rPr>
        <sz val="11"/>
        <color theme="1"/>
        <rFont val="Calibri"/>
        <family val="2"/>
        <scheme val="minor"/>
      </rPr>
      <t>] =</t>
    </r>
  </si>
  <si>
    <t>x</t>
  </si>
  <si>
    <t xml:space="preserve"> = x*x</t>
  </si>
  <si>
    <t>gyök(L(PbSO4) =</t>
  </si>
  <si>
    <t>mol/l *</t>
  </si>
  <si>
    <t>M(foszfát)=</t>
  </si>
  <si>
    <t>M(vasklorid)=</t>
  </si>
  <si>
    <t>mg/l =</t>
  </si>
  <si>
    <t>kg/m3 =</t>
  </si>
  <si>
    <t xml:space="preserve">x = </t>
  </si>
  <si>
    <t>0,00018+x)*x = x2 +0,00018x =</t>
  </si>
  <si>
    <r>
      <t>[PO</t>
    </r>
    <r>
      <rPr>
        <vertAlign val="subscript"/>
        <sz val="11"/>
        <color theme="1"/>
        <rFont val="Calibri"/>
        <family val="2"/>
        <charset val="238"/>
        <scheme val="minor"/>
      </rPr>
      <t>4</t>
    </r>
    <r>
      <rPr>
        <vertAlign val="superscript"/>
        <sz val="11"/>
        <color theme="1"/>
        <rFont val="Calibri"/>
        <family val="2"/>
        <charset val="238"/>
        <scheme val="minor"/>
      </rPr>
      <t>---</t>
    </r>
    <r>
      <rPr>
        <sz val="11"/>
        <color theme="1"/>
        <rFont val="Calibri"/>
        <family val="2"/>
        <scheme val="minor"/>
      </rPr>
      <t>]=</t>
    </r>
  </si>
  <si>
    <r>
      <t>[FeCl</t>
    </r>
    <r>
      <rPr>
        <vertAlign val="sub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scheme val="minor"/>
      </rPr>
      <t>]=</t>
    </r>
  </si>
  <si>
    <t>0,001053-x</t>
  </si>
  <si>
    <t>0,001231-0,001053+x</t>
  </si>
  <si>
    <r>
      <t xml:space="preserve">  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3-</t>
    </r>
    <r>
      <rPr>
        <sz val="12"/>
        <rFont val="Times New Roman"/>
        <family val="1"/>
        <charset val="238"/>
      </rPr>
      <t xml:space="preserve"> +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+ 3*Cl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= 3*Cl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 xml:space="preserve">   +   FePO</t>
    </r>
    <r>
      <rPr>
        <vertAlign val="subscript"/>
        <sz val="12"/>
        <rFont val="Times New Roman"/>
        <family val="1"/>
        <charset val="238"/>
      </rPr>
      <t>4</t>
    </r>
    <r>
      <rPr>
        <sz val="12"/>
        <rFont val="Times New Roman"/>
        <family val="1"/>
        <charset val="238"/>
      </rPr>
      <t xml:space="preserve">     +      Fe</t>
    </r>
    <r>
      <rPr>
        <vertAlign val="superscript"/>
        <sz val="12"/>
        <rFont val="Times New Roman"/>
        <family val="1"/>
        <charset val="238"/>
      </rPr>
      <t>+++</t>
    </r>
    <r>
      <rPr>
        <sz val="12"/>
        <rFont val="Times New Roman"/>
        <family val="1"/>
        <charset val="238"/>
      </rPr>
      <t xml:space="preserve">      +    PO</t>
    </r>
    <r>
      <rPr>
        <vertAlign val="subscript"/>
        <sz val="12"/>
        <rFont val="Times New Roman"/>
        <family val="1"/>
        <charset val="238"/>
      </rPr>
      <t>4</t>
    </r>
    <r>
      <rPr>
        <vertAlign val="superscript"/>
        <sz val="12"/>
        <rFont val="Times New Roman"/>
        <family val="1"/>
        <charset val="238"/>
      </rPr>
      <t>---</t>
    </r>
  </si>
  <si>
    <t>különbség:</t>
  </si>
  <si>
    <t xml:space="preserve"> x2 +0,000178x - 1,3E-22 = 0</t>
  </si>
  <si>
    <r>
      <t>mg/dm</t>
    </r>
    <r>
      <rPr>
        <b/>
        <vertAlign val="superscript"/>
        <sz val="12"/>
        <rFont val="Times New Roman"/>
        <family val="1"/>
        <charset val="238"/>
      </rPr>
      <t>3</t>
    </r>
    <r>
      <rPr>
        <b/>
        <sz val="12"/>
        <rFont val="Times New Roman"/>
        <family val="1"/>
        <charset val="238"/>
      </rPr>
      <t xml:space="preserve"> PO</t>
    </r>
    <r>
      <rPr>
        <b/>
        <vertAlign val="subscript"/>
        <sz val="12"/>
        <rFont val="Times New Roman"/>
        <family val="1"/>
        <charset val="238"/>
      </rPr>
      <t>4</t>
    </r>
    <r>
      <rPr>
        <b/>
        <vertAlign val="superscript"/>
        <sz val="12"/>
        <rFont val="Times New Roman"/>
        <family val="1"/>
        <charset val="238"/>
      </rPr>
      <t>---</t>
    </r>
    <r>
      <rPr>
        <b/>
        <sz val="12"/>
        <rFont val="Times New Roman"/>
        <family val="1"/>
        <charset val="238"/>
      </rPr>
      <t xml:space="preserve"> =</t>
    </r>
  </si>
  <si>
    <t xml:space="preserve"> 1000*x*M(foszfát) =</t>
  </si>
  <si>
    <t>ppm</t>
  </si>
  <si>
    <t>(reciprokkal szorzás)</t>
  </si>
  <si>
    <r>
      <rPr>
        <b/>
        <sz val="12"/>
        <color rgb="FFFF0000"/>
        <rFont val="Times New Roman"/>
        <family val="1"/>
        <charset val="238"/>
      </rPr>
      <t xml:space="preserve"> </t>
    </r>
    <r>
      <rPr>
        <b/>
        <sz val="18"/>
        <color rgb="FFFF0000"/>
        <rFont val="Times New Roman"/>
        <family val="1"/>
        <charset val="238"/>
      </rPr>
      <t>/</t>
    </r>
    <r>
      <rPr>
        <sz val="18"/>
        <color rgb="FFFF0000"/>
        <rFont val="Times New Roman"/>
        <family val="1"/>
        <charset val="238"/>
      </rPr>
      <t xml:space="preserve"> </t>
    </r>
    <r>
      <rPr>
        <sz val="12"/>
        <color theme="1"/>
        <rFont val="Times New Roman"/>
        <family val="1"/>
        <charset val="238"/>
      </rPr>
      <t>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</si>
  <si>
    <t>( 1E+28 = 1 / 1E-28 )</t>
  </si>
  <si>
    <r>
      <rPr>
        <b/>
        <sz val="14"/>
        <color rgb="FFFF0000"/>
        <rFont val="Times New Roman"/>
        <family val="1"/>
        <charset val="238"/>
      </rPr>
      <t xml:space="preserve"> /</t>
    </r>
    <r>
      <rPr>
        <sz val="12"/>
        <color theme="1"/>
        <rFont val="Times New Roman"/>
        <family val="1"/>
        <charset val="238"/>
      </rPr>
      <t xml:space="preserve"> [OH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3</t>
    </r>
  </si>
  <si>
    <t xml:space="preserve">b.  </t>
  </si>
  <si>
    <t xml:space="preserve">c.  </t>
  </si>
  <si>
    <t xml:space="preserve">4.  a.  </t>
  </si>
  <si>
    <t>4. a.</t>
  </si>
  <si>
    <t xml:space="preserve">mg/l </t>
  </si>
  <si>
    <t xml:space="preserve">4. </t>
  </si>
  <si>
    <r>
      <t>Cu(OH)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oldhatósága pH 7 és pH 9 értékeknél.</t>
    </r>
  </si>
  <si>
    <t xml:space="preserve">L= </t>
  </si>
  <si>
    <r>
      <t>= [Cu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]*[OH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</t>
    </r>
  </si>
  <si>
    <r>
      <t>[H</t>
    </r>
    <r>
      <rPr>
        <vertAlign val="superscript"/>
        <sz val="12"/>
        <color rgb="FF000000"/>
        <rFont val="Times New Roman"/>
        <family val="1"/>
        <charset val="238"/>
      </rPr>
      <t>+</t>
    </r>
    <r>
      <rPr>
        <sz val="12"/>
        <color rgb="FF000000"/>
        <rFont val="Times New Roman"/>
        <family val="1"/>
        <charset val="238"/>
      </rPr>
      <t>] 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 = 10</t>
    </r>
    <r>
      <rPr>
        <vertAlign val="superscript"/>
        <sz val="12"/>
        <color rgb="FF000000"/>
        <rFont val="Times New Roman"/>
        <family val="1"/>
        <charset val="238"/>
      </rPr>
      <t>-14</t>
    </r>
  </si>
  <si>
    <r>
      <t>[Cu</t>
    </r>
    <r>
      <rPr>
        <vertAlign val="superscript"/>
        <sz val="12"/>
        <rFont val="Times New Roman"/>
        <family val="1"/>
        <charset val="238"/>
      </rPr>
      <t>++</t>
    </r>
    <r>
      <rPr>
        <sz val="12"/>
        <rFont val="Times New Roman"/>
        <family val="1"/>
        <charset val="238"/>
      </rPr>
      <t>] =  4.8 10</t>
    </r>
    <r>
      <rPr>
        <vertAlign val="superscript"/>
        <sz val="12"/>
        <rFont val="Times New Roman"/>
        <family val="1"/>
        <charset val="238"/>
      </rPr>
      <t>-20</t>
    </r>
    <r>
      <rPr>
        <sz val="12"/>
        <rFont val="Times New Roman"/>
        <family val="1"/>
        <charset val="238"/>
      </rPr>
      <t xml:space="preserve"> / [OH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</si>
  <si>
    <r>
      <t>[OH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>] = 10</t>
    </r>
    <r>
      <rPr>
        <vertAlign val="superscript"/>
        <sz val="12"/>
        <rFont val="Times New Roman"/>
        <family val="1"/>
        <charset val="238"/>
      </rPr>
      <t>-14</t>
    </r>
    <r>
      <rPr>
        <sz val="12"/>
        <rFont val="Times New Roman"/>
        <family val="1"/>
        <charset val="238"/>
      </rPr>
      <t xml:space="preserve"> /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</si>
  <si>
    <r>
      <t>[Cu</t>
    </r>
    <r>
      <rPr>
        <vertAlign val="superscript"/>
        <sz val="12"/>
        <rFont val="Times New Roman"/>
        <family val="1"/>
        <charset val="238"/>
      </rPr>
      <t>++</t>
    </r>
    <r>
      <rPr>
        <sz val="12"/>
        <rFont val="Times New Roman"/>
        <family val="1"/>
        <charset val="238"/>
      </rPr>
      <t xml:space="preserve">] =  </t>
    </r>
  </si>
  <si>
    <r>
      <t xml:space="preserve"> 4.8 10</t>
    </r>
    <r>
      <rPr>
        <vertAlign val="superscript"/>
        <sz val="12"/>
        <color rgb="FF000000"/>
        <rFont val="Times New Roman"/>
        <family val="1"/>
        <charset val="238"/>
      </rPr>
      <t>-20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/ 10</t>
    </r>
    <r>
      <rPr>
        <vertAlign val="superscript"/>
        <sz val="12"/>
        <rFont val="Times New Roman"/>
        <family val="1"/>
        <charset val="238"/>
      </rPr>
      <t>-28</t>
    </r>
    <r>
      <rPr>
        <sz val="12"/>
        <color rgb="FF000000"/>
        <rFont val="Times New Roman"/>
        <family val="1"/>
        <charset val="238"/>
      </rPr>
      <t xml:space="preserve">    =</t>
    </r>
  </si>
  <si>
    <r>
      <t xml:space="preserve"> 4.8 10</t>
    </r>
    <r>
      <rPr>
        <vertAlign val="superscript"/>
        <sz val="12"/>
        <color rgb="FF000000"/>
        <rFont val="Times New Roman"/>
        <family val="1"/>
        <charset val="238"/>
      </rPr>
      <t>-20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+28</t>
    </r>
    <r>
      <rPr>
        <sz val="12"/>
        <color rgb="FF000000"/>
        <rFont val="Times New Roman"/>
        <family val="1"/>
        <charset val="238"/>
      </rPr>
      <t xml:space="preserve">    =</t>
    </r>
  </si>
  <si>
    <r>
      <t xml:space="preserve"> 4.8 10</t>
    </r>
    <r>
      <rPr>
        <vertAlign val="superscript"/>
        <sz val="12"/>
        <color rgb="FF000000"/>
        <rFont val="Times New Roman"/>
        <family val="1"/>
        <charset val="238"/>
      </rPr>
      <t>+8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    </t>
    </r>
  </si>
  <si>
    <r>
      <t xml:space="preserve"> [Cu</t>
    </r>
    <r>
      <rPr>
        <b/>
        <vertAlign val="superscript"/>
        <sz val="12"/>
        <rFont val="Times New Roman"/>
        <family val="1"/>
        <charset val="238"/>
      </rPr>
      <t>++</t>
    </r>
    <r>
      <rPr>
        <b/>
        <sz val="12"/>
        <rFont val="Times New Roman"/>
        <family val="1"/>
        <charset val="238"/>
      </rPr>
      <t xml:space="preserve">] =  </t>
    </r>
  </si>
  <si>
    <r>
      <t xml:space="preserve"> * [H</t>
    </r>
    <r>
      <rPr>
        <b/>
        <vertAlign val="superscript"/>
        <sz val="12"/>
        <rFont val="Times New Roman"/>
        <family val="1"/>
        <charset val="238"/>
      </rPr>
      <t>+</t>
    </r>
    <r>
      <rPr>
        <b/>
        <sz val="12"/>
        <rFont val="Times New Roman"/>
        <family val="1"/>
        <charset val="238"/>
      </rPr>
      <t>]</t>
    </r>
    <r>
      <rPr>
        <b/>
        <vertAlign val="superscript"/>
        <sz val="12"/>
        <rFont val="Times New Roman"/>
        <family val="1"/>
        <charset val="238"/>
      </rPr>
      <t>2</t>
    </r>
    <r>
      <rPr>
        <b/>
        <sz val="12"/>
        <rFont val="Times New Roman"/>
        <family val="1"/>
        <charset val="238"/>
      </rPr>
      <t xml:space="preserve"> </t>
    </r>
  </si>
  <si>
    <r>
      <t>[Cu</t>
    </r>
    <r>
      <rPr>
        <b/>
        <vertAlign val="superscript"/>
        <sz val="12"/>
        <rFont val="Times New Roman"/>
        <family val="1"/>
        <charset val="238"/>
      </rPr>
      <t>++</t>
    </r>
    <r>
      <rPr>
        <b/>
        <sz val="12"/>
        <rFont val="Times New Roman"/>
        <family val="1"/>
        <charset val="238"/>
      </rPr>
      <t xml:space="preserve">] </t>
    </r>
  </si>
  <si>
    <r>
      <t>Mennyi a 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koncentrációja (mol/l, mg/l) tiszta vízben szilárd PbCl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jelenlétében? </t>
    </r>
  </si>
  <si>
    <r>
      <t xml:space="preserve"> [Pb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]*[Cl</t>
    </r>
    <r>
      <rPr>
        <vertAlign val="superscript"/>
        <sz val="12"/>
        <color theme="1"/>
        <rFont val="Times New Roman"/>
        <family val="1"/>
        <charset val="238"/>
      </rPr>
      <t>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 =</t>
    </r>
  </si>
  <si>
    <r>
      <t>Oldhatósági szorzat L(PbCl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)=</t>
    </r>
  </si>
  <si>
    <t xml:space="preserve"> Pb-207, Cl-35,5 g/mol</t>
  </si>
  <si>
    <r>
      <t>PbCl</t>
    </r>
    <r>
      <rPr>
        <vertAlign val="subscript"/>
        <sz val="12"/>
        <color theme="1"/>
        <rFont val="Times New Roman"/>
        <family val="1"/>
        <charset val="238"/>
      </rPr>
      <t xml:space="preserve">2  </t>
    </r>
    <r>
      <rPr>
        <sz val="12"/>
        <color theme="1"/>
        <rFont val="Times New Roman"/>
        <family val="1"/>
        <charset val="238"/>
      </rPr>
      <t>=</t>
    </r>
  </si>
  <si>
    <r>
      <t>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+ 2.Cl</t>
    </r>
    <r>
      <rPr>
        <vertAlign val="superscript"/>
        <sz val="12"/>
        <color theme="1"/>
        <rFont val="Times New Roman"/>
        <family val="1"/>
        <charset val="238"/>
      </rPr>
      <t>-</t>
    </r>
  </si>
  <si>
    <t xml:space="preserve"> x         2*x</t>
  </si>
  <si>
    <r>
      <t xml:space="preserve">  = x*4*x</t>
    </r>
    <r>
      <rPr>
        <vertAlign val="superscript"/>
        <sz val="12"/>
        <color theme="1"/>
        <rFont val="Times New Roman"/>
        <family val="1"/>
        <charset val="238"/>
      </rPr>
      <t>2</t>
    </r>
  </si>
  <si>
    <t xml:space="preserve"> mol/l</t>
  </si>
  <si>
    <r>
      <t xml:space="preserve"> Pb</t>
    </r>
    <r>
      <rPr>
        <b/>
        <vertAlign val="superscript"/>
        <sz val="12"/>
        <color theme="1"/>
        <rFont val="Times New Roman"/>
        <family val="1"/>
        <charset val="238"/>
      </rPr>
      <t>++</t>
    </r>
    <r>
      <rPr>
        <b/>
        <sz val="12"/>
        <color theme="1"/>
        <rFont val="Times New Roman"/>
        <family val="1"/>
        <charset val="238"/>
      </rPr>
      <t xml:space="preserve"> koncentráció =</t>
    </r>
  </si>
  <si>
    <r>
      <t>L(PbCl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 =</t>
    </r>
  </si>
  <si>
    <r>
      <t>Mennyi a 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koncentrációja (mol/l, mg/l) 1% NaCl tartalmú vízben szilárd PbCl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jelenlétében? </t>
    </r>
  </si>
  <si>
    <t xml:space="preserve"> Pb-207, Cl-35,5, Na-23 g/mol</t>
  </si>
  <si>
    <t>M(NaCl) =</t>
  </si>
  <si>
    <t>[Cl-] = [NaCl] =</t>
  </si>
  <si>
    <t>g/l  /</t>
  </si>
  <si>
    <r>
      <t xml:space="preserve"> [Pb</t>
    </r>
    <r>
      <rPr>
        <b/>
        <vertAlign val="superscript"/>
        <sz val="12"/>
        <color theme="1"/>
        <rFont val="Times New Roman"/>
        <family val="1"/>
        <charset val="238"/>
      </rPr>
      <t>++</t>
    </r>
    <r>
      <rPr>
        <b/>
        <sz val="12"/>
        <color theme="1"/>
        <rFont val="Times New Roman"/>
        <family val="1"/>
        <charset val="238"/>
      </rPr>
      <t>] = L(PbCl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 / [Cl</t>
    </r>
    <r>
      <rPr>
        <b/>
        <vertAlign val="superscript"/>
        <sz val="12"/>
        <color theme="1"/>
        <rFont val="Times New Roman"/>
        <family val="1"/>
        <charset val="238"/>
      </rPr>
      <t>-</t>
    </r>
    <r>
      <rPr>
        <b/>
        <sz val="12"/>
        <color theme="1"/>
        <rFont val="Times New Roman"/>
        <family val="1"/>
        <charset val="238"/>
      </rPr>
      <t>]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 xml:space="preserve">  =</t>
    </r>
  </si>
  <si>
    <t>0,002105-x</t>
  </si>
  <si>
    <t>0,002462-0,002105+x</t>
  </si>
  <si>
    <t>0,000356+x)*x = x2 +0,000356x =</t>
  </si>
  <si>
    <t xml:space="preserve"> x2 +0,000356x - 1,3E-22 = 0</t>
  </si>
  <si>
    <r>
      <t>Pb</t>
    </r>
    <r>
      <rPr>
        <vertAlign val="sub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(PO</t>
    </r>
    <r>
      <rPr>
        <vertAlign val="subscript"/>
        <sz val="12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=</t>
    </r>
  </si>
  <si>
    <r>
      <t>3Pb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+ 2.PO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---</t>
    </r>
  </si>
  <si>
    <t xml:space="preserve"> x        (2/3)*x</t>
  </si>
  <si>
    <r>
      <t xml:space="preserve">  = x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*x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*4/9</t>
    </r>
  </si>
  <si>
    <r>
      <t>Oldhatósági szorzat L(Pb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(PO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)=</t>
    </r>
  </si>
  <si>
    <r>
      <t>L(Pb</t>
    </r>
    <r>
      <rPr>
        <vertAlign val="subscript"/>
        <sz val="12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(PO</t>
    </r>
    <r>
      <rPr>
        <vertAlign val="subscript"/>
        <sz val="12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>) =</t>
    </r>
  </si>
  <si>
    <r>
      <t xml:space="preserve"> [Pb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*[PO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---</t>
    </r>
    <r>
      <rPr>
        <sz val="12"/>
        <color theme="1"/>
        <rFont val="Times New Roman"/>
        <family val="1"/>
        <charset val="238"/>
      </rPr>
      <t>]</t>
    </r>
    <r>
      <rPr>
        <vertAlign val="super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 =</t>
    </r>
  </si>
  <si>
    <r>
      <t>Mennyi a 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koncentrációja (mol/l, mg/l) tiszta vízben szilárd Pb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(PO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jelenlétében? </t>
    </r>
  </si>
  <si>
    <r>
      <t>Mennyi a Pb</t>
    </r>
    <r>
      <rPr>
        <vertAlign val="superscript"/>
        <sz val="12"/>
        <color theme="1"/>
        <rFont val="Times New Roman"/>
        <family val="1"/>
        <charset val="238"/>
      </rPr>
      <t>++</t>
    </r>
    <r>
      <rPr>
        <sz val="12"/>
        <color theme="1"/>
        <rFont val="Times New Roman"/>
        <family val="1"/>
        <charset val="238"/>
      </rPr>
      <t xml:space="preserve"> koncentrációja (mol/l, mg/l) 1% Na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 xml:space="preserve"> tartalmú vízben szilárd Pb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(PO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</t>
    </r>
    <r>
      <rPr>
        <vertAlign val="subscript"/>
        <sz val="12"/>
        <color theme="1"/>
        <rFont val="Times New Roman"/>
        <family val="1"/>
        <charset val="238"/>
      </rPr>
      <t>2</t>
    </r>
    <r>
      <rPr>
        <sz val="12"/>
        <color theme="1"/>
        <rFont val="Times New Roman"/>
        <family val="1"/>
        <charset val="238"/>
      </rPr>
      <t xml:space="preserve"> jelenlétében? </t>
    </r>
  </si>
  <si>
    <t xml:space="preserve"> Pb-207, P-31, O-16 g/mol</t>
  </si>
  <si>
    <t xml:space="preserve"> Pb-207, P-31, O-16, Na-23 g/mol</t>
  </si>
  <si>
    <r>
      <t>M(Na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>) =</t>
    </r>
  </si>
  <si>
    <r>
      <t>[PO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vertAlign val="superscript"/>
        <sz val="12"/>
        <color theme="1"/>
        <rFont val="Times New Roman"/>
        <family val="1"/>
        <charset val="238"/>
      </rPr>
      <t>---</t>
    </r>
    <r>
      <rPr>
        <sz val="12"/>
        <color theme="1"/>
        <rFont val="Times New Roman"/>
        <family val="1"/>
        <charset val="238"/>
      </rPr>
      <t>] = [Na</t>
    </r>
    <r>
      <rPr>
        <vertAlign val="subscript"/>
        <sz val="12"/>
        <color theme="1"/>
        <rFont val="Times New Roman"/>
        <family val="1"/>
        <charset val="238"/>
      </rPr>
      <t>3</t>
    </r>
    <r>
      <rPr>
        <sz val="12"/>
        <color theme="1"/>
        <rFont val="Times New Roman"/>
        <family val="1"/>
        <charset val="238"/>
      </rPr>
      <t>PO</t>
    </r>
    <r>
      <rPr>
        <vertAlign val="subscript"/>
        <sz val="12"/>
        <color theme="1"/>
        <rFont val="Times New Roman"/>
        <family val="1"/>
        <charset val="238"/>
      </rPr>
      <t>4</t>
    </r>
    <r>
      <rPr>
        <sz val="12"/>
        <color theme="1"/>
        <rFont val="Times New Roman"/>
        <family val="1"/>
        <charset val="238"/>
      </rPr>
      <t xml:space="preserve">] = </t>
    </r>
  </si>
  <si>
    <r>
      <t xml:space="preserve"> [Pb</t>
    </r>
    <r>
      <rPr>
        <b/>
        <vertAlign val="superscript"/>
        <sz val="12"/>
        <color theme="1"/>
        <rFont val="Times New Roman"/>
        <family val="1"/>
        <charset val="238"/>
      </rPr>
      <t>++</t>
    </r>
    <r>
      <rPr>
        <b/>
        <sz val="12"/>
        <color theme="1"/>
        <rFont val="Times New Roman"/>
        <family val="1"/>
        <charset val="238"/>
      </rPr>
      <t>] = (L(Pb</t>
    </r>
    <r>
      <rPr>
        <b/>
        <vertAlign val="subscript"/>
        <sz val="12"/>
        <color theme="1"/>
        <rFont val="Times New Roman"/>
        <family val="1"/>
        <charset val="238"/>
      </rPr>
      <t>3</t>
    </r>
    <r>
      <rPr>
        <b/>
        <sz val="12"/>
        <color theme="1"/>
        <rFont val="Times New Roman"/>
        <family val="1"/>
        <charset val="238"/>
      </rPr>
      <t>(PO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sz val="12"/>
        <color theme="1"/>
        <rFont val="Times New Roman"/>
        <family val="1"/>
        <charset val="238"/>
      </rPr>
      <t>)</t>
    </r>
    <r>
      <rPr>
        <b/>
        <vertAlign val="sub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 / [PO</t>
    </r>
    <r>
      <rPr>
        <b/>
        <vertAlign val="subscript"/>
        <sz val="12"/>
        <color theme="1"/>
        <rFont val="Times New Roman"/>
        <family val="1"/>
        <charset val="238"/>
      </rPr>
      <t>4</t>
    </r>
    <r>
      <rPr>
        <b/>
        <vertAlign val="superscript"/>
        <sz val="12"/>
        <color theme="1"/>
        <rFont val="Times New Roman"/>
        <family val="1"/>
        <charset val="238"/>
      </rPr>
      <t>---</t>
    </r>
    <r>
      <rPr>
        <b/>
        <sz val="12"/>
        <color theme="1"/>
        <rFont val="Times New Roman"/>
        <family val="1"/>
        <charset val="238"/>
      </rPr>
      <t>]</t>
    </r>
    <r>
      <rPr>
        <b/>
        <vertAlign val="superscript"/>
        <sz val="12"/>
        <color theme="1"/>
        <rFont val="Times New Roman"/>
        <family val="1"/>
        <charset val="238"/>
      </rPr>
      <t>2</t>
    </r>
    <r>
      <rPr>
        <b/>
        <sz val="12"/>
        <color theme="1"/>
        <rFont val="Times New Roman"/>
        <family val="1"/>
        <charset val="238"/>
      </rPr>
      <t>)^</t>
    </r>
    <r>
      <rPr>
        <b/>
        <vertAlign val="superscript"/>
        <sz val="12"/>
        <color theme="1"/>
        <rFont val="Times New Roman"/>
        <family val="1"/>
        <charset val="238"/>
      </rPr>
      <t>(1/3)</t>
    </r>
    <r>
      <rPr>
        <b/>
        <sz val="12"/>
        <color theme="1"/>
        <rFont val="Times New Roman"/>
        <family val="1"/>
        <charset val="238"/>
      </rPr>
      <t xml:space="preserve"> =</t>
    </r>
  </si>
  <si>
    <t>0,000445+x)*x = x2 +0,000445x =</t>
  </si>
  <si>
    <t xml:space="preserve"> x2 +0,000445x - 1,3E-22 = 0</t>
  </si>
  <si>
    <r>
      <t xml:space="preserve"> = [Zn</t>
    </r>
    <r>
      <rPr>
        <vertAlign val="superscript"/>
        <sz val="12"/>
        <color rgb="FF000000"/>
        <rFont val="Times New Roman"/>
        <family val="1"/>
        <charset val="238"/>
      </rPr>
      <t>++</t>
    </r>
    <r>
      <rPr>
        <sz val="12"/>
        <color rgb="FF000000"/>
        <rFont val="Times New Roman"/>
        <family val="1"/>
        <charset val="238"/>
      </rPr>
      <t>]*[OH</t>
    </r>
    <r>
      <rPr>
        <vertAlign val="superscript"/>
        <sz val="12"/>
        <color rgb="FF000000"/>
        <rFont val="Times New Roman"/>
        <family val="1"/>
        <charset val="238"/>
      </rPr>
      <t>-</t>
    </r>
    <r>
      <rPr>
        <sz val="12"/>
        <color rgb="FF000000"/>
        <rFont val="Times New Roman"/>
        <family val="1"/>
        <charset val="238"/>
      </rPr>
      <t>]</t>
    </r>
    <r>
      <rPr>
        <vertAlign val="superscript"/>
        <sz val="12"/>
        <color rgb="FF000000"/>
        <rFont val="Times New Roman"/>
        <family val="1"/>
        <charset val="238"/>
      </rPr>
      <t>2</t>
    </r>
    <r>
      <rPr>
        <sz val="12"/>
        <color rgb="FF000000"/>
        <rFont val="Times New Roman"/>
        <family val="1"/>
        <charset val="238"/>
      </rPr>
      <t xml:space="preserve"> </t>
    </r>
  </si>
  <si>
    <r>
      <t>[Zn</t>
    </r>
    <r>
      <rPr>
        <vertAlign val="superscript"/>
        <sz val="12"/>
        <rFont val="Times New Roman"/>
        <family val="1"/>
        <charset val="238"/>
      </rPr>
      <t>++</t>
    </r>
    <r>
      <rPr>
        <sz val="12"/>
        <rFont val="Times New Roman"/>
        <family val="1"/>
        <charset val="238"/>
      </rPr>
      <t>] =  3 10</t>
    </r>
    <r>
      <rPr>
        <vertAlign val="superscript"/>
        <sz val="12"/>
        <rFont val="Times New Roman"/>
        <family val="1"/>
        <charset val="238"/>
      </rPr>
      <t>-17</t>
    </r>
    <r>
      <rPr>
        <sz val="12"/>
        <rFont val="Times New Roman"/>
        <family val="1"/>
        <charset val="238"/>
      </rPr>
      <t xml:space="preserve"> / [OH</t>
    </r>
    <r>
      <rPr>
        <vertAlign val="superscript"/>
        <sz val="12"/>
        <rFont val="Times New Roman"/>
        <family val="1"/>
        <charset val="238"/>
      </rPr>
      <t>-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</si>
  <si>
    <r>
      <t>[Zn</t>
    </r>
    <r>
      <rPr>
        <vertAlign val="superscript"/>
        <sz val="12"/>
        <rFont val="Times New Roman"/>
        <family val="1"/>
        <charset val="238"/>
      </rPr>
      <t>++</t>
    </r>
    <r>
      <rPr>
        <sz val="12"/>
        <rFont val="Times New Roman"/>
        <family val="1"/>
        <charset val="238"/>
      </rPr>
      <t xml:space="preserve">] =  </t>
    </r>
  </si>
  <si>
    <r>
      <t xml:space="preserve"> 3 10</t>
    </r>
    <r>
      <rPr>
        <vertAlign val="superscript"/>
        <sz val="12"/>
        <color rgb="FF000000"/>
        <rFont val="Times New Roman"/>
        <family val="1"/>
        <charset val="238"/>
      </rPr>
      <t>-17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/ 10</t>
    </r>
    <r>
      <rPr>
        <vertAlign val="superscript"/>
        <sz val="12"/>
        <rFont val="Times New Roman"/>
        <family val="1"/>
        <charset val="238"/>
      </rPr>
      <t>-28</t>
    </r>
    <r>
      <rPr>
        <sz val="12"/>
        <color rgb="FF000000"/>
        <rFont val="Times New Roman"/>
        <family val="1"/>
        <charset val="238"/>
      </rPr>
      <t xml:space="preserve">    =</t>
    </r>
  </si>
  <si>
    <r>
      <t xml:space="preserve"> 3 10</t>
    </r>
    <r>
      <rPr>
        <vertAlign val="superscript"/>
        <sz val="12"/>
        <color rgb="FF000000"/>
        <rFont val="Times New Roman"/>
        <family val="1"/>
        <charset val="238"/>
      </rPr>
      <t>-17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* 10</t>
    </r>
    <r>
      <rPr>
        <vertAlign val="superscript"/>
        <sz val="12"/>
        <rFont val="Times New Roman"/>
        <family val="1"/>
        <charset val="238"/>
      </rPr>
      <t>+28</t>
    </r>
    <r>
      <rPr>
        <sz val="12"/>
        <color rgb="FF000000"/>
        <rFont val="Times New Roman"/>
        <family val="1"/>
        <charset val="238"/>
      </rPr>
      <t xml:space="preserve">    =</t>
    </r>
  </si>
  <si>
    <r>
      <t xml:space="preserve"> 3 10</t>
    </r>
    <r>
      <rPr>
        <vertAlign val="superscript"/>
        <sz val="12"/>
        <color rgb="FF000000"/>
        <rFont val="Times New Roman"/>
        <family val="1"/>
        <charset val="238"/>
      </rPr>
      <t>+11</t>
    </r>
    <r>
      <rPr>
        <sz val="12"/>
        <color rgb="FF000000"/>
        <rFont val="Times New Roman"/>
        <family val="1"/>
        <charset val="238"/>
      </rPr>
      <t xml:space="preserve"> *</t>
    </r>
    <r>
      <rPr>
        <sz val="12"/>
        <rFont val="Times New Roman"/>
        <family val="1"/>
        <charset val="238"/>
      </rPr>
      <t xml:space="preserve"> [H</t>
    </r>
    <r>
      <rPr>
        <vertAlign val="superscript"/>
        <sz val="12"/>
        <rFont val="Times New Roman"/>
        <family val="1"/>
        <charset val="238"/>
      </rPr>
      <t>+</t>
    </r>
    <r>
      <rPr>
        <sz val="12"/>
        <rFont val="Times New Roman"/>
        <family val="1"/>
        <charset val="238"/>
      </rPr>
      <t>]</t>
    </r>
    <r>
      <rPr>
        <vertAlign val="super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</t>
    </r>
    <r>
      <rPr>
        <sz val="12"/>
        <color rgb="FF000000"/>
        <rFont val="Times New Roman"/>
        <family val="1"/>
        <charset val="238"/>
      </rPr>
      <t xml:space="preserve">    </t>
    </r>
  </si>
  <si>
    <r>
      <t xml:space="preserve"> [Zn</t>
    </r>
    <r>
      <rPr>
        <b/>
        <vertAlign val="superscript"/>
        <sz val="12"/>
        <rFont val="Times New Roman"/>
        <family val="1"/>
        <charset val="238"/>
      </rPr>
      <t>++</t>
    </r>
    <r>
      <rPr>
        <b/>
        <sz val="12"/>
        <rFont val="Times New Roman"/>
        <family val="1"/>
        <charset val="238"/>
      </rPr>
      <t xml:space="preserve">] =  </t>
    </r>
  </si>
  <si>
    <r>
      <t>[Zn</t>
    </r>
    <r>
      <rPr>
        <b/>
        <vertAlign val="superscript"/>
        <sz val="12"/>
        <rFont val="Times New Roman"/>
        <family val="1"/>
        <charset val="238"/>
      </rPr>
      <t>++</t>
    </r>
    <r>
      <rPr>
        <b/>
        <sz val="12"/>
        <rFont val="Times New Roman"/>
        <family val="1"/>
        <charset val="238"/>
      </rPr>
      <t xml:space="preserve">] </t>
    </r>
  </si>
  <si>
    <r>
      <t>Zn(OH)</t>
    </r>
    <r>
      <rPr>
        <vertAlign val="subscript"/>
        <sz val="12"/>
        <rFont val="Times New Roman"/>
        <family val="1"/>
        <charset val="238"/>
      </rPr>
      <t>2</t>
    </r>
    <r>
      <rPr>
        <sz val="12"/>
        <rFont val="Times New Roman"/>
        <family val="1"/>
        <charset val="238"/>
      </rPr>
      <t xml:space="preserve"> oldhatósága pH 8 és pH 9 értékeknél.</t>
    </r>
  </si>
  <si>
    <t>0,002632-x</t>
  </si>
  <si>
    <t>0,003077-0,002632+x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</si>
</sst>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00"/>
    <numFmt numFmtId="166" formatCode="0E+00"/>
    <numFmt numFmtId="167" formatCode="0.0E+00"/>
  </numFmts>
  <fonts count="27" x14ac:knownFonts="1">
    <font>
      <sz val="11"/>
      <color theme="1"/>
      <name val="Calibri"/>
      <family val="2"/>
      <scheme val="minor"/>
    </font>
    <font>
      <b/>
      <sz val="10"/>
      <name val="Arial CE"/>
      <charset val="238"/>
    </font>
    <font>
      <vertAlign val="subscript"/>
      <sz val="10"/>
      <name val="Arial CE"/>
      <charset val="238"/>
    </font>
    <font>
      <vertAlign val="subscript"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vertAlign val="subscript"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vertAlign val="superscript"/>
      <sz val="12"/>
      <name val="Times New Roman"/>
      <family val="1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2"/>
      <color rgb="FF00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vertAlign val="subscript"/>
      <sz val="12"/>
      <color theme="1"/>
      <name val="Times New Roman"/>
      <family val="1"/>
      <charset val="238"/>
    </font>
    <font>
      <vertAlign val="superscript"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vertAlign val="superscript"/>
      <sz val="12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8"/>
      <color rgb="FFFF0000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vertAlign val="subscript"/>
      <sz val="1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2" fontId="0" fillId="0" borderId="0" xfId="0" applyNumberFormat="1"/>
    <xf numFmtId="11" fontId="0" fillId="0" borderId="0" xfId="0" applyNumberFormat="1"/>
    <xf numFmtId="0" fontId="0" fillId="0" borderId="0" xfId="0" applyAlignment="1">
      <alignment wrapText="1"/>
    </xf>
    <xf numFmtId="0" fontId="0" fillId="2" borderId="0" xfId="0" applyFill="1"/>
    <xf numFmtId="11" fontId="0" fillId="2" borderId="0" xfId="0" applyNumberFormat="1" applyFill="1"/>
    <xf numFmtId="0" fontId="0" fillId="0" borderId="0" xfId="0" applyAlignment="1">
      <alignment horizontal="right"/>
    </xf>
    <xf numFmtId="0" fontId="0" fillId="0" borderId="0" xfId="0" applyAlignment="1">
      <alignment horizontal="center" wrapText="1"/>
    </xf>
    <xf numFmtId="0" fontId="0" fillId="0" borderId="0" xfId="0" applyFill="1"/>
    <xf numFmtId="11" fontId="0" fillId="0" borderId="0" xfId="0" applyNumberFormat="1" applyFill="1"/>
    <xf numFmtId="0" fontId="0" fillId="0" borderId="0" xfId="0" applyAlignment="1">
      <alignment horizontal="center"/>
    </xf>
    <xf numFmtId="2" fontId="0" fillId="2" borderId="0" xfId="0" applyNumberFormat="1" applyFill="1"/>
    <xf numFmtId="0" fontId="0" fillId="0" borderId="0" xfId="0" applyAlignment="1">
      <alignment horizontal="left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1" fontId="6" fillId="0" borderId="0" xfId="0" applyNumberFormat="1" applyFont="1" applyAlignment="1">
      <alignment horizontal="left"/>
    </xf>
    <xf numFmtId="164" fontId="6" fillId="0" borderId="0" xfId="0" applyNumberFormat="1" applyFont="1"/>
    <xf numFmtId="165" fontId="6" fillId="0" borderId="0" xfId="0" applyNumberFormat="1" applyFont="1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right"/>
    </xf>
    <xf numFmtId="0" fontId="9" fillId="0" borderId="0" xfId="0" applyFont="1"/>
    <xf numFmtId="165" fontId="9" fillId="0" borderId="0" xfId="0" applyNumberFormat="1" applyFont="1"/>
    <xf numFmtId="0" fontId="12" fillId="0" borderId="0" xfId="0" applyFont="1"/>
    <xf numFmtId="11" fontId="6" fillId="0" borderId="0" xfId="0" applyNumberFormat="1" applyFont="1"/>
    <xf numFmtId="11" fontId="9" fillId="0" borderId="0" xfId="0" applyNumberFormat="1" applyFont="1"/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0" xfId="0" applyFont="1"/>
    <xf numFmtId="11" fontId="15" fillId="0" borderId="3" xfId="0" applyNumberFormat="1" applyFont="1" applyBorder="1"/>
    <xf numFmtId="0" fontId="15" fillId="0" borderId="4" xfId="0" quotePrefix="1" applyFont="1" applyBorder="1"/>
    <xf numFmtId="0" fontId="15" fillId="0" borderId="5" xfId="0" applyFont="1" applyBorder="1"/>
    <xf numFmtId="166" fontId="15" fillId="0" borderId="0" xfId="0" applyNumberFormat="1" applyFont="1"/>
    <xf numFmtId="0" fontId="15" fillId="0" borderId="6" xfId="0" applyFont="1" applyBorder="1"/>
    <xf numFmtId="11" fontId="15" fillId="0" borderId="4" xfId="0" applyNumberFormat="1" applyFont="1" applyBorder="1"/>
    <xf numFmtId="11" fontId="5" fillId="0" borderId="0" xfId="0" applyNumberFormat="1" applyFont="1"/>
    <xf numFmtId="166" fontId="15" fillId="0" borderId="0" xfId="0" applyNumberFormat="1" applyFont="1" applyAlignment="1">
      <alignment horizontal="left"/>
    </xf>
    <xf numFmtId="11" fontId="15" fillId="0" borderId="0" xfId="0" applyNumberFormat="1" applyFont="1"/>
    <xf numFmtId="166" fontId="5" fillId="0" borderId="0" xfId="0" applyNumberFormat="1" applyFont="1"/>
    <xf numFmtId="0" fontId="15" fillId="0" borderId="0" xfId="0" applyFont="1" applyAlignment="1">
      <alignment horizontal="center"/>
    </xf>
    <xf numFmtId="167" fontId="15" fillId="0" borderId="0" xfId="0" applyNumberFormat="1" applyFont="1"/>
    <xf numFmtId="0" fontId="18" fillId="0" borderId="7" xfId="0" applyFont="1" applyBorder="1"/>
    <xf numFmtId="11" fontId="20" fillId="0" borderId="1" xfId="0" applyNumberFormat="1" applyFont="1" applyBorder="1"/>
    <xf numFmtId="0" fontId="20" fillId="0" borderId="2" xfId="0" applyFont="1" applyBorder="1"/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3" borderId="0" xfId="0" applyFill="1"/>
    <xf numFmtId="0" fontId="0" fillId="3" borderId="0" xfId="0" applyFill="1" applyAlignment="1">
      <alignment horizontal="center"/>
    </xf>
    <xf numFmtId="165" fontId="0" fillId="0" borderId="0" xfId="0" applyNumberFormat="1"/>
    <xf numFmtId="165" fontId="0" fillId="2" borderId="8" xfId="0" applyNumberFormat="1" applyFill="1" applyBorder="1"/>
    <xf numFmtId="11" fontId="0" fillId="3" borderId="0" xfId="0" applyNumberFormat="1" applyFill="1"/>
    <xf numFmtId="0" fontId="18" fillId="0" borderId="0" xfId="0" applyFont="1"/>
    <xf numFmtId="0" fontId="0" fillId="2" borderId="3" xfId="0" applyFill="1" applyBorder="1"/>
    <xf numFmtId="0" fontId="9" fillId="2" borderId="5" xfId="0" applyFont="1" applyFill="1" applyBorder="1" applyAlignment="1">
      <alignment horizontal="right"/>
    </xf>
    <xf numFmtId="11" fontId="18" fillId="2" borderId="3" xfId="0" applyNumberFormat="1" applyFont="1" applyFill="1" applyBorder="1"/>
    <xf numFmtId="0" fontId="18" fillId="2" borderId="5" xfId="0" applyFont="1" applyFill="1" applyBorder="1"/>
    <xf numFmtId="0" fontId="15" fillId="0" borderId="3" xfId="0" applyFont="1" applyBorder="1"/>
    <xf numFmtId="0" fontId="5" fillId="3" borderId="0" xfId="0" applyFont="1" applyFill="1"/>
    <xf numFmtId="166" fontId="15" fillId="3" borderId="0" xfId="0" applyNumberFormat="1" applyFont="1" applyFill="1" applyAlignment="1">
      <alignment horizontal="left"/>
    </xf>
    <xf numFmtId="0" fontId="15" fillId="3" borderId="0" xfId="0" applyFont="1" applyFill="1"/>
    <xf numFmtId="0" fontId="24" fillId="0" borderId="0" xfId="0" applyFont="1"/>
    <xf numFmtId="11" fontId="20" fillId="2" borderId="1" xfId="0" applyNumberFormat="1" applyFont="1" applyFill="1" applyBorder="1"/>
    <xf numFmtId="0" fontId="20" fillId="2" borderId="2" xfId="0" applyFont="1" applyFill="1" applyBorder="1"/>
    <xf numFmtId="0" fontId="15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18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 readingOrder="1"/>
    </xf>
    <xf numFmtId="0" fontId="6" fillId="0" borderId="0" xfId="0" applyFont="1" applyAlignment="1">
      <alignment horizontal="left" vertical="center" readingOrder="1"/>
    </xf>
    <xf numFmtId="0" fontId="9" fillId="0" borderId="1" xfId="0" applyFont="1" applyBorder="1"/>
    <xf numFmtId="11" fontId="9" fillId="0" borderId="9" xfId="0" applyNumberFormat="1" applyFont="1" applyBorder="1"/>
    <xf numFmtId="0" fontId="9" fillId="0" borderId="2" xfId="0" applyFont="1" applyBorder="1"/>
    <xf numFmtId="0" fontId="9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/>
    <xf numFmtId="11" fontId="18" fillId="0" borderId="0" xfId="0" applyNumberFormat="1" applyFont="1" applyFill="1"/>
    <xf numFmtId="2" fontId="18" fillId="0" borderId="0" xfId="0" applyNumberFormat="1" applyFont="1" applyFill="1"/>
    <xf numFmtId="2" fontId="18" fillId="0" borderId="0" xfId="0" applyNumberFormat="1" applyFont="1"/>
    <xf numFmtId="11" fontId="18" fillId="0" borderId="0" xfId="0" applyNumberFormat="1" applyFont="1"/>
    <xf numFmtId="165" fontId="0" fillId="0" borderId="0" xfId="0" applyNumberFormat="1" applyFill="1"/>
    <xf numFmtId="165" fontId="0" fillId="0" borderId="8" xfId="0" applyNumberFormat="1" applyFill="1" applyBorder="1"/>
    <xf numFmtId="0" fontId="6" fillId="0" borderId="0" xfId="0" applyFont="1" applyFill="1" applyAlignment="1">
      <alignment horizontal="right"/>
    </xf>
    <xf numFmtId="0" fontId="0" fillId="0" borderId="0" xfId="0" applyFill="1" applyAlignment="1">
      <alignment horizontal="right"/>
    </xf>
    <xf numFmtId="0" fontId="0" fillId="0" borderId="3" xfId="0" applyFill="1" applyBorder="1"/>
    <xf numFmtId="0" fontId="9" fillId="0" borderId="5" xfId="0" applyFont="1" applyFill="1" applyBorder="1" applyAlignment="1">
      <alignment horizontal="right"/>
    </xf>
    <xf numFmtId="11" fontId="18" fillId="0" borderId="3" xfId="0" applyNumberFormat="1" applyFont="1" applyFill="1" applyBorder="1"/>
    <xf numFmtId="0" fontId="18" fillId="0" borderId="5" xfId="0" applyFont="1" applyFill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[Fe</a:t>
            </a:r>
            <a:r>
              <a:rPr lang="hu-HU" baseline="30000"/>
              <a:t>+++</a:t>
            </a:r>
            <a:r>
              <a:rPr lang="hu-HU"/>
              <a:t>]                      [Fe</a:t>
            </a:r>
            <a:r>
              <a:rPr lang="hu-HU" baseline="30000"/>
              <a:t>++</a:t>
            </a:r>
            <a:r>
              <a:rPr lang="hu-HU"/>
              <a:t>]                                        pH</a:t>
            </a:r>
          </a:p>
        </c:rich>
      </c:tx>
      <c:layout>
        <c:manualLayout>
          <c:xMode val="edge"/>
          <c:yMode val="edge"/>
          <c:x val="0.12526399825021872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>
        <c:manualLayout>
          <c:layoutTarget val="inner"/>
          <c:xMode val="edge"/>
          <c:yMode val="edge"/>
          <c:x val="9.9108923884514435E-2"/>
          <c:y val="0.12078703703703704"/>
          <c:w val="0.85766885389326331"/>
          <c:h val="0.82828703703703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'vas2-3meg'!$E$16</c:f>
              <c:strCache>
                <c:ptCount val="1"/>
                <c:pt idx="0">
                  <c:v>[Fe++]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'vas2-3meg'!$A$17:$A$30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'vas2-3meg'!$E$17:$E$30</c:f>
              <c:numCache>
                <c:formatCode>0.00E+00</c:formatCode>
                <c:ptCount val="14"/>
                <c:pt idx="0">
                  <c:v>4870000000.000001</c:v>
                </c:pt>
                <c:pt idx="1">
                  <c:v>48700000</c:v>
                </c:pt>
                <c:pt idx="2">
                  <c:v>487000</c:v>
                </c:pt>
                <c:pt idx="3">
                  <c:v>4870</c:v>
                </c:pt>
                <c:pt idx="4">
                  <c:v>48.70000000000001</c:v>
                </c:pt>
                <c:pt idx="5">
                  <c:v>0.48699999999999999</c:v>
                </c:pt>
                <c:pt idx="6">
                  <c:v>4.8699999999999993E-3</c:v>
                </c:pt>
                <c:pt idx="7">
                  <c:v>4.8700000000000005E-5</c:v>
                </c:pt>
                <c:pt idx="8">
                  <c:v>4.8700000000000006E-7</c:v>
                </c:pt>
                <c:pt idx="9">
                  <c:v>4.8700000000000008E-9</c:v>
                </c:pt>
                <c:pt idx="10">
                  <c:v>4.8699999999999997E-11</c:v>
                </c:pt>
                <c:pt idx="11">
                  <c:v>4.8699999999999994E-13</c:v>
                </c:pt>
                <c:pt idx="12">
                  <c:v>4.8699999999999999E-15</c:v>
                </c:pt>
                <c:pt idx="13">
                  <c:v>4.8700000000000001E-17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AA5-44A7-BB8F-5CBB106AE537}"/>
            </c:ext>
          </c:extLst>
        </c:ser>
        <c:ser>
          <c:idx val="1"/>
          <c:order val="1"/>
          <c:tx>
            <c:strRef>
              <c:f>'vas2-3meg'!$F$16</c:f>
              <c:strCache>
                <c:ptCount val="1"/>
                <c:pt idx="0">
                  <c:v>[Fe+++]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'vas2-3meg'!$A$17:$A$30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</c:numCache>
            </c:numRef>
          </c:xVal>
          <c:yVal>
            <c:numRef>
              <c:f>'vas2-3meg'!$F$17:$F$30</c:f>
              <c:numCache>
                <c:formatCode>0.0E+00</c:formatCode>
                <c:ptCount val="14"/>
                <c:pt idx="0">
                  <c:v>2.7</c:v>
                </c:pt>
                <c:pt idx="1">
                  <c:v>2.7000000000000001E-3</c:v>
                </c:pt>
                <c:pt idx="2">
                  <c:v>2.6999999999999996E-6</c:v>
                </c:pt>
                <c:pt idx="3">
                  <c:v>2.6999999999999994E-9</c:v>
                </c:pt>
                <c:pt idx="4">
                  <c:v>2.7000000000000002E-12</c:v>
                </c:pt>
                <c:pt idx="5">
                  <c:v>2.6999999999999993E-15</c:v>
                </c:pt>
                <c:pt idx="6">
                  <c:v>2.6999999999999987E-18</c:v>
                </c:pt>
                <c:pt idx="7">
                  <c:v>2.6999999999999997E-21</c:v>
                </c:pt>
                <c:pt idx="8">
                  <c:v>2.7000000000000001E-24</c:v>
                </c:pt>
                <c:pt idx="9">
                  <c:v>2.6999999999999999E-27</c:v>
                </c:pt>
                <c:pt idx="10">
                  <c:v>2.6999999999999992E-30</c:v>
                </c:pt>
                <c:pt idx="11">
                  <c:v>2.6999999999999994E-33</c:v>
                </c:pt>
                <c:pt idx="12">
                  <c:v>2.6999999999999997E-36</c:v>
                </c:pt>
                <c:pt idx="13">
                  <c:v>2.6999999999999997E-39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A5-44A7-BB8F-5CBB106AE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17893391"/>
        <c:axId val="1008047503"/>
      </c:scatterChart>
      <c:valAx>
        <c:axId val="1017893391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08047503"/>
        <c:crosses val="autoZero"/>
        <c:crossBetween val="midCat"/>
      </c:valAx>
      <c:valAx>
        <c:axId val="1008047503"/>
        <c:scaling>
          <c:logBase val="10"/>
          <c:orientation val="minMax"/>
          <c:max val="1"/>
          <c:min val="1.0000000000000011E-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E+0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01789339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12</xdr:row>
      <xdr:rowOff>0</xdr:rowOff>
    </xdr:from>
    <xdr:to>
      <xdr:col>12</xdr:col>
      <xdr:colOff>486537</xdr:colOff>
      <xdr:row>14</xdr:row>
      <xdr:rowOff>141410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F1E894D2-5C31-4836-A703-200871C1C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39962" y="2667000"/>
          <a:ext cx="1702806" cy="5810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7</xdr:row>
      <xdr:rowOff>161925</xdr:rowOff>
    </xdr:from>
    <xdr:to>
      <xdr:col>3</xdr:col>
      <xdr:colOff>569331</xdr:colOff>
      <xdr:row>10</xdr:row>
      <xdr:rowOff>9525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74937C8-B59B-4F3F-BFAE-3FBD6B05C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5325" y="1885950"/>
          <a:ext cx="1702806" cy="5810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76201</xdr:colOff>
      <xdr:row>12</xdr:row>
      <xdr:rowOff>21430</xdr:rowOff>
    </xdr:from>
    <xdr:to>
      <xdr:col>12</xdr:col>
      <xdr:colOff>438150</xdr:colOff>
      <xdr:row>29</xdr:row>
      <xdr:rowOff>47624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465B0C-17E9-4F7B-88AA-924A987108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hat_gy4_21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y4-adat"/>
      <sheetName val="PbSO4"/>
      <sheetName val="PbSO4meg"/>
      <sheetName val="foszfát"/>
      <sheetName val="foszfátmeg"/>
      <sheetName val="vas2-3"/>
      <sheetName val="vas2-3meg"/>
      <sheetName val="Cu(OH)2"/>
      <sheetName val="Cu(OH)2meg"/>
      <sheetName val="rézkezd"/>
    </sheetNames>
    <sheetDataSet>
      <sheetData sheetId="0">
        <row r="15">
          <cell r="C15">
            <v>4.7999999999999999E-20</v>
          </cell>
        </row>
        <row r="27">
          <cell r="C27">
            <v>1.0000000000000001E-15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topLeftCell="B10" zoomScale="160" zoomScaleNormal="160" workbookViewId="0">
      <selection activeCell="C28" sqref="C28"/>
    </sheetView>
  </sheetViews>
  <sheetFormatPr defaultRowHeight="15" x14ac:dyDescent="0.25"/>
  <sheetData>
    <row r="1" spans="1:9" ht="51" x14ac:dyDescent="0.25">
      <c r="A1" s="1" t="s">
        <v>0</v>
      </c>
      <c r="B1" s="2" t="s">
        <v>1</v>
      </c>
      <c r="C1" s="2" t="s">
        <v>2</v>
      </c>
      <c r="D1" s="2"/>
      <c r="E1" s="2" t="s">
        <v>52</v>
      </c>
      <c r="F1" s="2" t="s">
        <v>3</v>
      </c>
      <c r="H1" s="2" t="s">
        <v>1</v>
      </c>
      <c r="I1" s="2" t="s">
        <v>3</v>
      </c>
    </row>
    <row r="2" spans="1:9" x14ac:dyDescent="0.25">
      <c r="A2" s="3">
        <f>-LOG10(C2)</f>
        <v>9.7520267336381927</v>
      </c>
      <c r="B2" t="s">
        <v>4</v>
      </c>
      <c r="C2" s="4">
        <v>1.7700000000000001E-10</v>
      </c>
      <c r="D2" s="5"/>
      <c r="E2" t="s">
        <v>5</v>
      </c>
      <c r="F2" s="5">
        <v>220</v>
      </c>
      <c r="H2" t="s">
        <v>6</v>
      </c>
      <c r="I2" s="5">
        <v>53</v>
      </c>
    </row>
    <row r="3" spans="1:9" ht="15.75" x14ac:dyDescent="0.3">
      <c r="A3" s="3">
        <f t="shared" ref="A3:A28" si="0">-LOG10(C3)</f>
        <v>33.522878745280337</v>
      </c>
      <c r="B3" s="10" t="s">
        <v>7</v>
      </c>
      <c r="C3" s="11">
        <v>3E-34</v>
      </c>
      <c r="E3" t="s">
        <v>8</v>
      </c>
      <c r="F3" s="5">
        <v>21</v>
      </c>
      <c r="H3" t="s">
        <v>9</v>
      </c>
      <c r="I3" s="5">
        <v>0.17</v>
      </c>
    </row>
    <row r="4" spans="1:9" ht="15.75" x14ac:dyDescent="0.3">
      <c r="A4" s="3">
        <f t="shared" si="0"/>
        <v>20.00700490156866</v>
      </c>
      <c r="B4" t="s">
        <v>10</v>
      </c>
      <c r="C4" s="4">
        <v>9.8399999999999999E-21</v>
      </c>
      <c r="E4" t="s">
        <v>11</v>
      </c>
      <c r="F4" s="5">
        <v>92</v>
      </c>
      <c r="H4" t="s">
        <v>12</v>
      </c>
      <c r="I4" s="5">
        <v>72</v>
      </c>
    </row>
    <row r="5" spans="1:9" ht="15.75" x14ac:dyDescent="0.3">
      <c r="A5" s="3">
        <f t="shared" si="0"/>
        <v>28.397940008672037</v>
      </c>
      <c r="B5" t="s">
        <v>13</v>
      </c>
      <c r="C5" s="4">
        <v>3.9999999999999998E-29</v>
      </c>
      <c r="E5" t="s">
        <v>14</v>
      </c>
      <c r="F5" s="5">
        <v>6.5</v>
      </c>
      <c r="H5" t="s">
        <v>15</v>
      </c>
      <c r="I5" s="5">
        <v>11</v>
      </c>
    </row>
    <row r="6" spans="1:9" x14ac:dyDescent="0.25">
      <c r="A6" s="3">
        <f t="shared" si="0"/>
        <v>9.9665762445130497</v>
      </c>
      <c r="B6" t="s">
        <v>16</v>
      </c>
      <c r="C6" s="4">
        <v>1.08E-10</v>
      </c>
      <c r="D6" s="5"/>
      <c r="E6" t="s">
        <v>17</v>
      </c>
      <c r="F6" s="5">
        <v>32</v>
      </c>
    </row>
    <row r="7" spans="1:9" ht="15.75" x14ac:dyDescent="0.3">
      <c r="A7" s="3">
        <f t="shared" si="0"/>
        <v>8.4736607226101555</v>
      </c>
      <c r="B7" t="s">
        <v>18</v>
      </c>
      <c r="C7" s="4">
        <v>3.36E-9</v>
      </c>
      <c r="D7" s="5"/>
      <c r="E7" t="s">
        <v>19</v>
      </c>
      <c r="F7" s="5">
        <v>192</v>
      </c>
    </row>
    <row r="8" spans="1:9" ht="15.75" x14ac:dyDescent="0.3">
      <c r="A8" s="3">
        <f t="shared" si="0"/>
        <v>32.684029654543082</v>
      </c>
      <c r="B8" t="s">
        <v>20</v>
      </c>
      <c r="C8" s="4">
        <v>2.07E-33</v>
      </c>
      <c r="E8" t="s">
        <v>21</v>
      </c>
      <c r="F8">
        <v>36</v>
      </c>
    </row>
    <row r="9" spans="1:9" ht="15.75" x14ac:dyDescent="0.3">
      <c r="A9" s="3">
        <f t="shared" si="0"/>
        <v>7</v>
      </c>
      <c r="B9" t="s">
        <v>22</v>
      </c>
      <c r="C9" s="4">
        <v>9.9999999999999995E-8</v>
      </c>
      <c r="E9" t="s">
        <v>23</v>
      </c>
      <c r="F9" s="5">
        <v>109</v>
      </c>
    </row>
    <row r="10" spans="1:9" ht="15.75" x14ac:dyDescent="0.3">
      <c r="A10" s="3">
        <f t="shared" si="0"/>
        <v>4.3071530807227703</v>
      </c>
      <c r="B10" t="s">
        <v>24</v>
      </c>
      <c r="C10" s="4">
        <v>4.9299999999999999E-5</v>
      </c>
      <c r="D10" s="5"/>
    </row>
    <row r="11" spans="1:9" ht="15.75" x14ac:dyDescent="0.3">
      <c r="A11" s="3">
        <f t="shared" si="0"/>
        <v>12</v>
      </c>
      <c r="B11" t="s">
        <v>25</v>
      </c>
      <c r="C11" s="4">
        <v>9.9999999999999998E-13</v>
      </c>
    </row>
    <row r="12" spans="1:9" ht="15.75" x14ac:dyDescent="0.3">
      <c r="A12" s="3">
        <f t="shared" si="0"/>
        <v>14.142667503568731</v>
      </c>
      <c r="B12" s="10" t="s">
        <v>26</v>
      </c>
      <c r="C12" s="11">
        <v>7.2000000000000002E-15</v>
      </c>
    </row>
    <row r="13" spans="1:9" ht="15.75" x14ac:dyDescent="0.3">
      <c r="A13" s="3">
        <f t="shared" si="0"/>
        <v>32.596879478824185</v>
      </c>
      <c r="B13" t="s">
        <v>27</v>
      </c>
      <c r="C13" s="4">
        <v>2.5300000000000001E-33</v>
      </c>
    </row>
    <row r="14" spans="1:9" ht="15.75" x14ac:dyDescent="0.3">
      <c r="A14" s="3">
        <f t="shared" si="0"/>
        <v>9.8632794328435924</v>
      </c>
      <c r="B14" t="s">
        <v>28</v>
      </c>
      <c r="C14" s="4">
        <v>1.3699999999999999E-10</v>
      </c>
      <c r="H14" s="4"/>
    </row>
    <row r="15" spans="1:9" ht="15.75" x14ac:dyDescent="0.3">
      <c r="A15" s="3">
        <f t="shared" si="0"/>
        <v>19.318758762624412</v>
      </c>
      <c r="B15" t="s">
        <v>29</v>
      </c>
      <c r="C15" s="4">
        <v>4.7999999999999999E-20</v>
      </c>
      <c r="G15" s="8" t="s">
        <v>30</v>
      </c>
      <c r="H15" s="9" t="s">
        <v>31</v>
      </c>
    </row>
    <row r="16" spans="1:9" ht="15.75" x14ac:dyDescent="0.3">
      <c r="A16" s="3">
        <f t="shared" si="0"/>
        <v>36.853871964321762</v>
      </c>
      <c r="B16" t="s">
        <v>32</v>
      </c>
      <c r="C16" s="4">
        <v>1.4000000000000001E-37</v>
      </c>
      <c r="G16" s="8" t="s">
        <v>33</v>
      </c>
      <c r="H16" s="5">
        <v>1E-3</v>
      </c>
    </row>
    <row r="17" spans="1:8" x14ac:dyDescent="0.25">
      <c r="A17" s="3">
        <f t="shared" si="0"/>
        <v>36.096910013008056</v>
      </c>
      <c r="B17" t="s">
        <v>34</v>
      </c>
      <c r="C17" s="4">
        <v>8.0000000000000005E-37</v>
      </c>
      <c r="G17" s="8" t="s">
        <v>35</v>
      </c>
      <c r="H17" s="5">
        <v>5.0000000000000001E-3</v>
      </c>
    </row>
    <row r="18" spans="1:8" ht="15.75" x14ac:dyDescent="0.3">
      <c r="A18" s="3">
        <f t="shared" si="0"/>
        <v>16.312471038785365</v>
      </c>
      <c r="B18" s="10" t="s">
        <v>36</v>
      </c>
      <c r="C18" s="4">
        <v>4.8700000000000001E-17</v>
      </c>
      <c r="G18" s="8" t="s">
        <v>37</v>
      </c>
      <c r="H18" s="5">
        <v>2</v>
      </c>
    </row>
    <row r="19" spans="1:8" ht="15.75" x14ac:dyDescent="0.3">
      <c r="A19" s="3">
        <f t="shared" si="0"/>
        <v>38.568636235841012</v>
      </c>
      <c r="B19" s="10" t="s">
        <v>38</v>
      </c>
      <c r="C19" s="4">
        <v>2.7000000000000001E-39</v>
      </c>
      <c r="G19" s="8" t="s">
        <v>39</v>
      </c>
      <c r="H19" s="5">
        <v>0.02</v>
      </c>
    </row>
    <row r="20" spans="1:8" ht="15.75" x14ac:dyDescent="0.3">
      <c r="A20" s="3">
        <f t="shared" si="0"/>
        <v>21.886056647693163</v>
      </c>
      <c r="B20" t="s">
        <v>40</v>
      </c>
      <c r="C20" s="4">
        <v>1.3E-22</v>
      </c>
      <c r="G20" s="8" t="s">
        <v>41</v>
      </c>
      <c r="H20" s="5">
        <v>0.01</v>
      </c>
    </row>
    <row r="21" spans="1:8" x14ac:dyDescent="0.25">
      <c r="A21" s="3">
        <f t="shared" si="0"/>
        <v>53.698970004336019</v>
      </c>
      <c r="B21" t="s">
        <v>42</v>
      </c>
      <c r="C21" s="4">
        <v>2.0000000000000001E-54</v>
      </c>
      <c r="D21" s="5"/>
      <c r="G21" s="8" t="s">
        <v>43</v>
      </c>
      <c r="H21" s="5">
        <v>0.05</v>
      </c>
    </row>
    <row r="22" spans="1:8" ht="15.75" x14ac:dyDescent="0.3">
      <c r="A22" s="3">
        <f t="shared" si="0"/>
        <v>4.7695510786217259</v>
      </c>
      <c r="B22" t="s">
        <v>44</v>
      </c>
      <c r="C22" s="4">
        <v>1.7E-5</v>
      </c>
      <c r="G22" s="8" t="s">
        <v>46</v>
      </c>
      <c r="H22" s="5">
        <v>0.01</v>
      </c>
    </row>
    <row r="23" spans="1:8" ht="15.75" x14ac:dyDescent="0.3">
      <c r="A23" s="3">
        <f t="shared" si="0"/>
        <v>19.844663962534938</v>
      </c>
      <c r="B23" s="10" t="s">
        <v>45</v>
      </c>
      <c r="C23" s="11">
        <v>1.4299999999999999E-20</v>
      </c>
      <c r="D23" s="6" t="s">
        <v>56</v>
      </c>
    </row>
    <row r="24" spans="1:8" ht="15.75" x14ac:dyDescent="0.3">
      <c r="A24" s="3">
        <f t="shared" si="0"/>
        <v>31.823908740944319</v>
      </c>
      <c r="B24" t="s">
        <v>47</v>
      </c>
      <c r="C24" s="4">
        <v>1.5E-32</v>
      </c>
      <c r="D24" s="6" t="s">
        <v>54</v>
      </c>
      <c r="E24" s="6" t="s">
        <v>55</v>
      </c>
      <c r="F24" s="6" t="s">
        <v>53</v>
      </c>
      <c r="G24" s="6"/>
    </row>
    <row r="25" spans="1:8" ht="15.75" x14ac:dyDescent="0.3">
      <c r="A25" s="3">
        <f t="shared" si="0"/>
        <v>7.5883802940367699</v>
      </c>
      <c r="B25" s="6" t="s">
        <v>48</v>
      </c>
      <c r="C25" s="7">
        <v>2.5799999999999999E-8</v>
      </c>
      <c r="D25" s="7">
        <v>2.5300000000000002E-8</v>
      </c>
      <c r="E25" s="7">
        <v>1.0600000000000001E-8</v>
      </c>
      <c r="F25" s="7">
        <v>2.1299999999999999E-8</v>
      </c>
    </row>
    <row r="26" spans="1:8" x14ac:dyDescent="0.25">
      <c r="A26" s="3">
        <f t="shared" si="0"/>
        <v>27.522878745280337</v>
      </c>
      <c r="B26" t="s">
        <v>49</v>
      </c>
      <c r="C26" s="4">
        <v>3E-28</v>
      </c>
    </row>
    <row r="27" spans="1:8" ht="15.75" x14ac:dyDescent="0.3">
      <c r="A27" s="3">
        <f t="shared" si="0"/>
        <v>15</v>
      </c>
      <c r="B27" s="10" t="s">
        <v>50</v>
      </c>
      <c r="C27" s="11">
        <v>1.0000000000000001E-15</v>
      </c>
    </row>
    <row r="28" spans="1:8" ht="15.75" x14ac:dyDescent="0.3">
      <c r="A28" s="3">
        <f t="shared" si="0"/>
        <v>16.522878745280337</v>
      </c>
      <c r="B28" s="10" t="s">
        <v>51</v>
      </c>
      <c r="C28" s="11">
        <v>3.0000000000000001E-17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EA6C6-A87D-4B2B-9955-4D6DF3E3318C}">
  <dimension ref="A1:N11"/>
  <sheetViews>
    <sheetView workbookViewId="0">
      <selection sqref="A1:N11"/>
    </sheetView>
  </sheetViews>
  <sheetFormatPr defaultRowHeight="15" x14ac:dyDescent="0.25"/>
  <cols>
    <col min="5" max="5" width="9.42578125" bestFit="1" customWidth="1"/>
  </cols>
  <sheetData>
    <row r="1" spans="1:14" ht="20.25" x14ac:dyDescent="0.35">
      <c r="A1" s="76" t="s">
        <v>57</v>
      </c>
      <c r="B1" s="31" t="s">
        <v>183</v>
      </c>
      <c r="C1" s="31"/>
      <c r="D1" s="31"/>
      <c r="E1" s="31"/>
      <c r="F1" s="31"/>
      <c r="G1" s="31"/>
      <c r="H1" s="31"/>
      <c r="I1" s="31"/>
      <c r="J1" s="31"/>
    </row>
    <row r="2" spans="1:14" ht="18.75" x14ac:dyDescent="0.35">
      <c r="A2" s="31"/>
      <c r="B2" s="31" t="s">
        <v>185</v>
      </c>
      <c r="C2" s="31"/>
      <c r="D2" s="31"/>
      <c r="E2" s="40">
        <f>'gy4-adat'!C22</f>
        <v>1.7E-5</v>
      </c>
      <c r="F2" s="31"/>
      <c r="G2" s="30" t="s">
        <v>62</v>
      </c>
      <c r="H2" s="31" t="s">
        <v>186</v>
      </c>
      <c r="I2" s="31"/>
      <c r="J2" s="31"/>
    </row>
    <row r="4" spans="1:14" ht="20.25" x14ac:dyDescent="0.35">
      <c r="A4" s="76" t="s">
        <v>59</v>
      </c>
      <c r="B4" s="31" t="s">
        <v>194</v>
      </c>
      <c r="C4" s="31"/>
      <c r="D4" s="31"/>
      <c r="E4" s="31"/>
      <c r="F4" s="31"/>
      <c r="G4" s="31"/>
      <c r="H4" s="31"/>
      <c r="I4" s="31"/>
      <c r="J4" s="31"/>
    </row>
    <row r="5" spans="1:14" ht="18.75" x14ac:dyDescent="0.35">
      <c r="A5" s="31"/>
      <c r="B5" s="31" t="s">
        <v>185</v>
      </c>
      <c r="C5" s="31"/>
      <c r="D5" s="31"/>
      <c r="E5" s="40">
        <f>E2</f>
        <v>1.7E-5</v>
      </c>
      <c r="F5" s="31"/>
      <c r="G5" s="30" t="s">
        <v>62</v>
      </c>
      <c r="H5" s="31" t="s">
        <v>195</v>
      </c>
      <c r="I5" s="31"/>
      <c r="J5" s="31"/>
    </row>
    <row r="7" spans="1:14" ht="20.25" x14ac:dyDescent="0.35">
      <c r="A7" s="76" t="s">
        <v>110</v>
      </c>
      <c r="B7" s="17">
        <v>5</v>
      </c>
      <c r="C7" s="16" t="s">
        <v>93</v>
      </c>
      <c r="D7" s="16"/>
      <c r="E7" s="16"/>
      <c r="F7" s="16"/>
      <c r="G7" s="16">
        <v>200</v>
      </c>
      <c r="H7" s="16" t="s">
        <v>88</v>
      </c>
      <c r="I7" s="16" t="s">
        <v>82</v>
      </c>
      <c r="J7" s="16"/>
      <c r="K7" s="16">
        <v>2</v>
      </c>
      <c r="L7" s="16" t="s">
        <v>94</v>
      </c>
      <c r="M7" s="16"/>
      <c r="N7" s="16"/>
    </row>
    <row r="8" spans="1:14" ht="18.75" x14ac:dyDescent="0.35">
      <c r="A8" s="31"/>
      <c r="B8" s="16"/>
      <c r="C8" s="16"/>
      <c r="D8" s="17" t="s">
        <v>90</v>
      </c>
      <c r="E8" s="18">
        <f>'gy4-adat'!C13</f>
        <v>2.5300000000000001E-33</v>
      </c>
      <c r="F8" s="16" t="s">
        <v>89</v>
      </c>
      <c r="G8" s="16"/>
      <c r="H8" s="16"/>
      <c r="I8" s="16"/>
      <c r="J8" s="31"/>
      <c r="K8" s="31"/>
      <c r="L8" s="31"/>
      <c r="M8" s="31"/>
      <c r="N8" s="31"/>
    </row>
    <row r="10" spans="1:14" ht="18.75" x14ac:dyDescent="0.35">
      <c r="A10" s="76" t="s">
        <v>169</v>
      </c>
      <c r="B10" s="16" t="s">
        <v>170</v>
      </c>
      <c r="C10" s="16"/>
      <c r="D10" s="16"/>
      <c r="E10" s="16"/>
      <c r="F10" s="16"/>
      <c r="G10" s="16"/>
      <c r="H10" s="16"/>
    </row>
    <row r="11" spans="1:14" ht="18.75" x14ac:dyDescent="0.25">
      <c r="A11" s="16"/>
      <c r="B11" s="17" t="s">
        <v>171</v>
      </c>
      <c r="C11" s="26">
        <f>'[1]gy4-adat'!C27</f>
        <v>1.0000000000000001E-15</v>
      </c>
      <c r="D11" s="69" t="s">
        <v>172</v>
      </c>
      <c r="E11" s="16"/>
      <c r="F11" s="16"/>
      <c r="G11" s="70" t="s">
        <v>173</v>
      </c>
      <c r="H11" s="1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3D1C8-FB4A-40A5-9B9B-D2D4A82DD4AD}">
  <dimension ref="A1:N11"/>
  <sheetViews>
    <sheetView zoomScale="160" zoomScaleNormal="160" workbookViewId="0">
      <selection activeCell="A2" sqref="A2"/>
    </sheetView>
  </sheetViews>
  <sheetFormatPr defaultRowHeight="15" x14ac:dyDescent="0.25"/>
  <sheetData>
    <row r="1" spans="1:14" ht="18.75" x14ac:dyDescent="0.35">
      <c r="A1" s="28" t="s">
        <v>57</v>
      </c>
      <c r="B1" t="s">
        <v>60</v>
      </c>
      <c r="K1" t="s">
        <v>72</v>
      </c>
    </row>
    <row r="2" spans="1:14" ht="18" x14ac:dyDescent="0.35">
      <c r="B2" t="s">
        <v>61</v>
      </c>
      <c r="E2" s="4">
        <f>'gy4-adat'!C25</f>
        <v>2.5799999999999999E-8</v>
      </c>
      <c r="G2" s="8" t="s">
        <v>62</v>
      </c>
      <c r="H2" t="s">
        <v>63</v>
      </c>
      <c r="L2" s="8" t="str">
        <f>'gy4-adat'!G20</f>
        <v>Összes ólom</v>
      </c>
      <c r="M2" s="8">
        <f>'gy4-adat'!H20</f>
        <v>0.01</v>
      </c>
      <c r="N2" t="s">
        <v>31</v>
      </c>
    </row>
    <row r="3" spans="1:14" x14ac:dyDescent="0.25">
      <c r="E3" s="4"/>
      <c r="G3" s="8"/>
    </row>
    <row r="4" spans="1:14" ht="18.75" x14ac:dyDescent="0.35">
      <c r="B4" t="s">
        <v>64</v>
      </c>
      <c r="C4" t="s">
        <v>65</v>
      </c>
      <c r="E4" s="4">
        <f>E2</f>
        <v>2.5799999999999999E-8</v>
      </c>
      <c r="F4" t="s">
        <v>141</v>
      </c>
      <c r="G4" s="49" t="s">
        <v>138</v>
      </c>
      <c r="H4" s="49" t="s">
        <v>139</v>
      </c>
    </row>
    <row r="5" spans="1:14" ht="17.25" x14ac:dyDescent="0.25">
      <c r="A5" s="8" t="s">
        <v>168</v>
      </c>
      <c r="B5" s="6" t="s">
        <v>68</v>
      </c>
      <c r="C5" s="6"/>
      <c r="D5" s="10" t="s">
        <v>142</v>
      </c>
      <c r="E5" s="10"/>
      <c r="F5" s="47">
        <f>SQRT(E4)</f>
        <v>1.6062378404209011E-4</v>
      </c>
      <c r="G5" s="50" t="s">
        <v>140</v>
      </c>
      <c r="H5" s="50" t="s">
        <v>140</v>
      </c>
      <c r="I5" s="10" t="s">
        <v>58</v>
      </c>
      <c r="J5" s="48"/>
      <c r="K5" s="10"/>
    </row>
    <row r="6" spans="1:14" ht="17.25" x14ac:dyDescent="0.25">
      <c r="B6" s="6" t="s">
        <v>68</v>
      </c>
      <c r="C6" s="6"/>
      <c r="D6" s="10">
        <f>F5</f>
        <v>1.6062378404209011E-4</v>
      </c>
      <c r="E6" s="10" t="s">
        <v>143</v>
      </c>
      <c r="F6" s="47">
        <v>207</v>
      </c>
      <c r="G6" s="10" t="s">
        <v>70</v>
      </c>
      <c r="H6" s="10">
        <f>D6*F6</f>
        <v>3.3249123296712653E-2</v>
      </c>
      <c r="I6" s="10" t="s">
        <v>80</v>
      </c>
      <c r="J6" s="13">
        <f>H6*1000</f>
        <v>33.249123296712654</v>
      </c>
      <c r="K6" s="6" t="s">
        <v>31</v>
      </c>
    </row>
    <row r="8" spans="1:14" ht="18.75" x14ac:dyDescent="0.35">
      <c r="A8" s="28" t="s">
        <v>59</v>
      </c>
      <c r="B8" t="s">
        <v>73</v>
      </c>
    </row>
    <row r="10" spans="1:14" ht="18.75" x14ac:dyDescent="0.35">
      <c r="B10" t="s">
        <v>74</v>
      </c>
      <c r="C10">
        <f>32+4*16</f>
        <v>96</v>
      </c>
      <c r="D10" t="s">
        <v>75</v>
      </c>
      <c r="E10" s="8" t="s">
        <v>76</v>
      </c>
      <c r="F10">
        <v>8.06</v>
      </c>
      <c r="G10" t="s">
        <v>77</v>
      </c>
      <c r="H10" s="14">
        <v>96</v>
      </c>
      <c r="I10" t="s">
        <v>78</v>
      </c>
      <c r="J10">
        <f>F10/H10</f>
        <v>8.3958333333333343E-2</v>
      </c>
      <c r="K10" t="s">
        <v>58</v>
      </c>
    </row>
    <row r="11" spans="1:14" ht="18.75" x14ac:dyDescent="0.35">
      <c r="B11" s="14" t="s">
        <v>137</v>
      </c>
      <c r="E11" s="4">
        <f>E4/J10</f>
        <v>3.0729528535980144E-7</v>
      </c>
      <c r="F11" t="s">
        <v>79</v>
      </c>
      <c r="G11" s="4">
        <f>E11*207</f>
        <v>6.3610124069478902E-5</v>
      </c>
      <c r="H11" t="s">
        <v>80</v>
      </c>
      <c r="I11" s="13">
        <f>G11*1000</f>
        <v>6.3610124069478899E-2</v>
      </c>
      <c r="J11" s="6" t="s">
        <v>81</v>
      </c>
      <c r="K11" s="6"/>
      <c r="L11" s="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6BFE0-256E-4DBE-A56E-222518AD529A}">
  <dimension ref="A1:N10"/>
  <sheetViews>
    <sheetView zoomScale="160" zoomScaleNormal="160" workbookViewId="0">
      <selection activeCell="D21" sqref="D21"/>
    </sheetView>
  </sheetViews>
  <sheetFormatPr defaultRowHeight="15" x14ac:dyDescent="0.25"/>
  <sheetData>
    <row r="1" spans="1:14" ht="18.75" x14ac:dyDescent="0.35">
      <c r="A1" s="28" t="s">
        <v>57</v>
      </c>
      <c r="B1" t="s">
        <v>60</v>
      </c>
      <c r="K1" t="s">
        <v>72</v>
      </c>
    </row>
    <row r="2" spans="1:14" ht="18" x14ac:dyDescent="0.35">
      <c r="B2" t="s">
        <v>61</v>
      </c>
      <c r="E2" s="4">
        <f>'gy4-adat'!C25</f>
        <v>2.5799999999999999E-8</v>
      </c>
      <c r="G2" s="8" t="s">
        <v>62</v>
      </c>
      <c r="H2" t="s">
        <v>63</v>
      </c>
      <c r="L2" s="8" t="str">
        <f>'gy4-adat'!G20</f>
        <v>Összes ólom</v>
      </c>
      <c r="M2" s="8">
        <f>'gy4-adat'!H20</f>
        <v>0.01</v>
      </c>
      <c r="N2" t="s">
        <v>31</v>
      </c>
    </row>
    <row r="3" spans="1:14" x14ac:dyDescent="0.25">
      <c r="E3" s="4"/>
      <c r="G3" s="8"/>
    </row>
    <row r="4" spans="1:14" ht="18.75" x14ac:dyDescent="0.35">
      <c r="B4" t="s">
        <v>64</v>
      </c>
      <c r="C4" t="s">
        <v>65</v>
      </c>
      <c r="E4" s="4">
        <f>E2</f>
        <v>2.5799999999999999E-8</v>
      </c>
      <c r="H4" s="8" t="s">
        <v>66</v>
      </c>
      <c r="I4" s="4">
        <f>E4</f>
        <v>2.5799999999999999E-8</v>
      </c>
      <c r="J4" t="s">
        <v>67</v>
      </c>
      <c r="K4">
        <f>SQRT(I4)</f>
        <v>1.6062378404209011E-4</v>
      </c>
      <c r="L4" t="s">
        <v>58</v>
      </c>
    </row>
    <row r="5" spans="1:14" ht="17.25" x14ac:dyDescent="0.25">
      <c r="B5" s="6" t="s">
        <v>68</v>
      </c>
      <c r="C5" s="6"/>
      <c r="D5" s="6">
        <f>K4</f>
        <v>1.6062378404209011E-4</v>
      </c>
      <c r="E5" s="6" t="s">
        <v>69</v>
      </c>
      <c r="F5" s="12">
        <v>207</v>
      </c>
      <c r="G5" t="s">
        <v>70</v>
      </c>
      <c r="H5">
        <f>D5*F5</f>
        <v>3.3249123296712653E-2</v>
      </c>
      <c r="I5" t="s">
        <v>71</v>
      </c>
      <c r="J5" s="13">
        <f>1000*H5</f>
        <v>33.249123296712654</v>
      </c>
      <c r="K5" s="6" t="s">
        <v>31</v>
      </c>
    </row>
    <row r="7" spans="1:14" ht="18.75" x14ac:dyDescent="0.35">
      <c r="A7" s="28" t="s">
        <v>59</v>
      </c>
      <c r="B7" t="s">
        <v>73</v>
      </c>
    </row>
    <row r="9" spans="1:14" ht="18.75" x14ac:dyDescent="0.35">
      <c r="B9" t="s">
        <v>74</v>
      </c>
      <c r="C9">
        <f>32+4*16</f>
        <v>96</v>
      </c>
      <c r="D9" t="s">
        <v>75</v>
      </c>
      <c r="E9" s="8" t="s">
        <v>76</v>
      </c>
      <c r="F9">
        <v>8.06</v>
      </c>
      <c r="G9" t="s">
        <v>77</v>
      </c>
      <c r="H9">
        <f>C9</f>
        <v>96</v>
      </c>
      <c r="I9" t="s">
        <v>78</v>
      </c>
      <c r="J9">
        <f>F9/H9</f>
        <v>8.3958333333333343E-2</v>
      </c>
      <c r="K9" t="s">
        <v>58</v>
      </c>
    </row>
    <row r="10" spans="1:14" ht="18.75" x14ac:dyDescent="0.35">
      <c r="B10" s="14" t="s">
        <v>137</v>
      </c>
      <c r="E10" s="4">
        <f>E2/J9</f>
        <v>3.0729528535980144E-7</v>
      </c>
      <c r="F10" t="s">
        <v>79</v>
      </c>
      <c r="G10" s="4">
        <f>E10*F5</f>
        <v>6.3610124069478902E-5</v>
      </c>
      <c r="H10" t="s">
        <v>80</v>
      </c>
      <c r="I10" s="13">
        <f>G10*1000</f>
        <v>6.3610124069478899E-2</v>
      </c>
      <c r="J10" s="6" t="s">
        <v>81</v>
      </c>
      <c r="K10" s="6"/>
      <c r="L10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3A49B-51E3-44A9-B1C3-B5DA73E6587F}">
  <dimension ref="A1:N16"/>
  <sheetViews>
    <sheetView topLeftCell="C1" zoomScale="130" zoomScaleNormal="130" workbookViewId="0">
      <selection activeCell="G16" sqref="G16"/>
    </sheetView>
  </sheetViews>
  <sheetFormatPr defaultRowHeight="15" x14ac:dyDescent="0.25"/>
  <cols>
    <col min="6" max="6" width="11.140625" customWidth="1"/>
    <col min="7" max="7" width="9.85546875" customWidth="1"/>
    <col min="8" max="8" width="10.85546875" customWidth="1"/>
    <col min="9" max="9" width="10.28515625" customWidth="1"/>
  </cols>
  <sheetData>
    <row r="1" spans="1:14" ht="20.25" x14ac:dyDescent="0.35">
      <c r="A1" s="28" t="s">
        <v>110</v>
      </c>
      <c r="B1" s="17">
        <v>1</v>
      </c>
      <c r="C1" s="16" t="s">
        <v>93</v>
      </c>
      <c r="D1" s="16"/>
      <c r="E1" s="16"/>
      <c r="F1" s="16"/>
      <c r="G1" s="16">
        <v>100</v>
      </c>
      <c r="H1" s="16" t="s">
        <v>88</v>
      </c>
      <c r="I1" s="16" t="s">
        <v>82</v>
      </c>
      <c r="J1" s="16"/>
      <c r="K1" s="16">
        <v>0.2</v>
      </c>
      <c r="L1" s="16" t="s">
        <v>94</v>
      </c>
      <c r="M1" s="16"/>
      <c r="N1" s="16"/>
    </row>
    <row r="2" spans="1:14" ht="15.75" x14ac:dyDescent="0.2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8.75" x14ac:dyDescent="0.35">
      <c r="A3" s="16"/>
      <c r="B3" s="16"/>
      <c r="C3" s="16"/>
      <c r="D3" s="16"/>
      <c r="E3" s="17" t="s">
        <v>90</v>
      </c>
      <c r="F3" s="18">
        <f>'gy4-adat'!C20</f>
        <v>1.3E-22</v>
      </c>
      <c r="G3" s="16" t="s">
        <v>89</v>
      </c>
      <c r="H3" s="16"/>
      <c r="I3" s="16"/>
      <c r="J3" s="16"/>
      <c r="K3" s="16"/>
      <c r="L3" s="16"/>
      <c r="M3" s="16"/>
      <c r="N3" s="16"/>
    </row>
    <row r="4" spans="1:14" x14ac:dyDescent="0.25">
      <c r="D4" s="8" t="s">
        <v>144</v>
      </c>
      <c r="E4">
        <f>31+4*16</f>
        <v>95</v>
      </c>
      <c r="F4" t="s">
        <v>75</v>
      </c>
      <c r="H4" s="8" t="s">
        <v>145</v>
      </c>
      <c r="I4">
        <f>56+3*35.5</f>
        <v>162.5</v>
      </c>
    </row>
    <row r="6" spans="1:14" ht="18.75" x14ac:dyDescent="0.35">
      <c r="C6" t="s">
        <v>150</v>
      </c>
      <c r="D6">
        <f>G1</f>
        <v>100</v>
      </c>
      <c r="E6" t="s">
        <v>146</v>
      </c>
      <c r="F6">
        <v>0.1</v>
      </c>
      <c r="G6" t="s">
        <v>80</v>
      </c>
      <c r="H6" s="51">
        <f>F6/E4</f>
        <v>1.0526315789473684E-3</v>
      </c>
      <c r="I6" t="s">
        <v>58</v>
      </c>
      <c r="J6" t="s">
        <v>155</v>
      </c>
    </row>
    <row r="7" spans="1:14" ht="18" x14ac:dyDescent="0.35">
      <c r="C7" t="s">
        <v>151</v>
      </c>
      <c r="D7">
        <f>K1</f>
        <v>0.2</v>
      </c>
      <c r="E7" t="s">
        <v>147</v>
      </c>
      <c r="F7">
        <f>D7</f>
        <v>0.2</v>
      </c>
      <c r="G7" t="s">
        <v>80</v>
      </c>
      <c r="H7" s="51">
        <f>F7/I4</f>
        <v>1.2307692307692308E-3</v>
      </c>
      <c r="I7" t="s">
        <v>58</v>
      </c>
      <c r="J7" s="52">
        <f>H7-H6</f>
        <v>1.7813765182186241E-4</v>
      </c>
    </row>
    <row r="9" spans="1:14" ht="20.25" x14ac:dyDescent="0.35">
      <c r="C9" s="21" t="s">
        <v>154</v>
      </c>
      <c r="H9" s="6"/>
    </row>
    <row r="10" spans="1:14" x14ac:dyDescent="0.25">
      <c r="C10" s="51">
        <f>H6</f>
        <v>1.0526315789473684E-3</v>
      </c>
      <c r="D10" s="51">
        <f>H7</f>
        <v>1.2307692307692308E-3</v>
      </c>
      <c r="F10" t="s">
        <v>152</v>
      </c>
      <c r="G10" s="6" t="s">
        <v>153</v>
      </c>
      <c r="H10" s="6"/>
      <c r="I10" s="12" t="s">
        <v>140</v>
      </c>
    </row>
    <row r="11" spans="1:14" x14ac:dyDescent="0.25">
      <c r="G11" s="52">
        <f>J7</f>
        <v>1.7813765182186241E-4</v>
      </c>
      <c r="H11" s="6" t="s">
        <v>84</v>
      </c>
    </row>
    <row r="13" spans="1:14" ht="19.5" x14ac:dyDescent="0.3">
      <c r="D13" s="25"/>
      <c r="E13" s="17" t="s">
        <v>107</v>
      </c>
      <c r="F13" t="s">
        <v>149</v>
      </c>
      <c r="I13" s="4">
        <f>F3</f>
        <v>1.3E-22</v>
      </c>
    </row>
    <row r="14" spans="1:14" x14ac:dyDescent="0.25">
      <c r="F14" t="s">
        <v>156</v>
      </c>
    </row>
    <row r="15" spans="1:14" x14ac:dyDescent="0.25">
      <c r="F15" s="8" t="s">
        <v>148</v>
      </c>
      <c r="G15" s="53">
        <f>(-J7+SQRT(J7*J7+4*I13))/2</f>
        <v>7.3183646642771549E-19</v>
      </c>
    </row>
    <row r="16" spans="1:14" ht="19.5" x14ac:dyDescent="0.3">
      <c r="E16" s="55"/>
      <c r="F16" s="56" t="s">
        <v>157</v>
      </c>
      <c r="G16" t="s">
        <v>158</v>
      </c>
      <c r="I16" s="57">
        <f>1000*G15*E4</f>
        <v>6.9524464310632972E-14</v>
      </c>
      <c r="J16" s="58" t="s">
        <v>159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E13639-1FA8-45CA-B9BC-D1D5ED1A46BB}">
  <dimension ref="A1:N62"/>
  <sheetViews>
    <sheetView zoomScale="160" zoomScaleNormal="160" workbookViewId="0">
      <selection activeCell="L10" sqref="L10"/>
    </sheetView>
  </sheetViews>
  <sheetFormatPr defaultRowHeight="15" x14ac:dyDescent="0.25"/>
  <cols>
    <col min="6" max="6" width="10" customWidth="1"/>
    <col min="7" max="7" width="9.5703125" customWidth="1"/>
    <col min="9" max="9" width="10" customWidth="1"/>
    <col min="11" max="12" width="10.42578125" customWidth="1"/>
    <col min="13" max="13" width="9.7109375" customWidth="1"/>
    <col min="14" max="14" width="9.42578125" customWidth="1"/>
  </cols>
  <sheetData>
    <row r="1" spans="1:14" ht="20.25" x14ac:dyDescent="0.35">
      <c r="A1" s="28" t="s">
        <v>110</v>
      </c>
      <c r="B1" s="17">
        <v>1</v>
      </c>
      <c r="C1" s="16" t="s">
        <v>93</v>
      </c>
      <c r="D1" s="16"/>
      <c r="E1" s="16"/>
      <c r="F1" s="16"/>
      <c r="G1" s="16">
        <v>100</v>
      </c>
      <c r="H1" s="16" t="s">
        <v>88</v>
      </c>
      <c r="I1" s="16" t="s">
        <v>82</v>
      </c>
      <c r="J1" s="16"/>
      <c r="K1" s="16">
        <v>0.2</v>
      </c>
      <c r="L1" s="16" t="s">
        <v>94</v>
      </c>
      <c r="M1" s="16"/>
      <c r="N1" s="16"/>
    </row>
    <row r="2" spans="1:14" ht="15.75" x14ac:dyDescent="0.25">
      <c r="A2" s="17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ht="18.75" x14ac:dyDescent="0.35">
      <c r="A3" s="16"/>
      <c r="B3" s="16"/>
      <c r="C3" s="16"/>
      <c r="D3" s="16"/>
      <c r="E3" s="17" t="s">
        <v>90</v>
      </c>
      <c r="F3" s="18">
        <f>'gy4-adat'!C20</f>
        <v>1.3E-22</v>
      </c>
      <c r="G3" s="16" t="s">
        <v>89</v>
      </c>
      <c r="H3" s="16"/>
      <c r="I3" s="16"/>
      <c r="J3" s="16"/>
      <c r="K3" s="16"/>
      <c r="L3" s="16"/>
      <c r="M3" s="16"/>
      <c r="N3" s="16"/>
    </row>
    <row r="4" spans="1:14" ht="20.25" x14ac:dyDescent="0.35">
      <c r="A4" s="16"/>
      <c r="B4" s="16"/>
      <c r="C4" s="16"/>
      <c r="D4" s="16"/>
      <c r="E4" s="16"/>
      <c r="F4" s="17" t="s">
        <v>95</v>
      </c>
      <c r="G4" s="16">
        <f>31+4*16</f>
        <v>95</v>
      </c>
      <c r="H4" s="16" t="s">
        <v>75</v>
      </c>
      <c r="I4" s="16"/>
      <c r="J4" s="17" t="s">
        <v>96</v>
      </c>
      <c r="K4" s="16">
        <f>56+3*35.5</f>
        <v>162.5</v>
      </c>
      <c r="L4" s="16" t="s">
        <v>75</v>
      </c>
      <c r="M4" s="16"/>
      <c r="N4" s="16"/>
    </row>
    <row r="5" spans="1:14" ht="20.25" x14ac:dyDescent="0.35">
      <c r="A5" s="16"/>
      <c r="B5" s="16"/>
      <c r="C5" s="16"/>
      <c r="D5" s="17" t="s">
        <v>97</v>
      </c>
      <c r="E5" s="19">
        <f>G1/1000</f>
        <v>0.1</v>
      </c>
      <c r="F5" s="16" t="s">
        <v>98</v>
      </c>
      <c r="G5" s="20">
        <f>E5/G4</f>
        <v>1.0526315789473684E-3</v>
      </c>
      <c r="H5" s="21" t="s">
        <v>99</v>
      </c>
      <c r="I5" s="17" t="s">
        <v>100</v>
      </c>
      <c r="J5" s="17">
        <f>1000*K1/B1/1000</f>
        <v>0.2</v>
      </c>
      <c r="K5" s="16" t="s">
        <v>101</v>
      </c>
      <c r="L5" s="20">
        <f>J5/K4</f>
        <v>1.2307692307692308E-3</v>
      </c>
      <c r="M5" s="21" t="s">
        <v>99</v>
      </c>
      <c r="N5" s="22"/>
    </row>
    <row r="6" spans="1:14" ht="20.25" x14ac:dyDescent="0.35">
      <c r="A6" s="16"/>
      <c r="B6" s="16"/>
      <c r="C6" s="16"/>
      <c r="D6" s="16"/>
      <c r="E6" s="21" t="s">
        <v>102</v>
      </c>
      <c r="F6" s="16"/>
      <c r="G6" s="16"/>
      <c r="H6" s="16"/>
      <c r="I6" s="16"/>
      <c r="J6" s="16"/>
      <c r="K6" s="16"/>
      <c r="L6" s="16"/>
      <c r="M6" s="16"/>
      <c r="N6" s="16"/>
    </row>
    <row r="7" spans="1:14" ht="20.25" x14ac:dyDescent="0.35">
      <c r="A7" s="16"/>
      <c r="B7" s="16"/>
      <c r="C7" s="16"/>
      <c r="D7" s="16"/>
      <c r="E7" s="21" t="s">
        <v>103</v>
      </c>
      <c r="F7" s="20">
        <f>G5</f>
        <v>1.0526315789473684E-3</v>
      </c>
      <c r="G7" s="16" t="s">
        <v>83</v>
      </c>
      <c r="H7" s="21" t="s">
        <v>104</v>
      </c>
      <c r="I7" s="23" t="s">
        <v>91</v>
      </c>
      <c r="J7" s="21" t="s">
        <v>105</v>
      </c>
      <c r="K7" s="17" t="s">
        <v>106</v>
      </c>
      <c r="L7" s="21" t="s">
        <v>103</v>
      </c>
      <c r="M7" s="24">
        <f>L5-G5</f>
        <v>1.7813765182186241E-4</v>
      </c>
      <c r="N7" s="23" t="s">
        <v>84</v>
      </c>
    </row>
    <row r="8" spans="1:14" ht="19.5" x14ac:dyDescent="0.3">
      <c r="A8" s="16"/>
      <c r="B8" s="16"/>
      <c r="C8" s="16"/>
      <c r="D8" s="16"/>
      <c r="E8" s="21"/>
      <c r="F8" s="20"/>
      <c r="G8" s="25"/>
      <c r="H8" s="17" t="s">
        <v>107</v>
      </c>
      <c r="I8" s="20">
        <f>M7</f>
        <v>1.7813765182186241E-4</v>
      </c>
      <c r="J8" s="16" t="s">
        <v>92</v>
      </c>
      <c r="K8" s="26">
        <f>F3</f>
        <v>1.3E-22</v>
      </c>
      <c r="L8" s="26"/>
      <c r="M8" s="16"/>
      <c r="N8" s="16"/>
    </row>
    <row r="9" spans="1:14" ht="18.75" x14ac:dyDescent="0.25">
      <c r="A9" s="16"/>
      <c r="B9" s="16"/>
      <c r="C9" s="16"/>
      <c r="D9" s="16"/>
      <c r="E9" s="16"/>
      <c r="F9" s="16"/>
      <c r="G9" s="16"/>
      <c r="H9" s="17" t="s">
        <v>108</v>
      </c>
      <c r="I9" s="20">
        <f>I8</f>
        <v>1.7813765182186241E-4</v>
      </c>
      <c r="J9" s="16" t="s">
        <v>85</v>
      </c>
      <c r="K9" s="26">
        <f>-F3</f>
        <v>-1.3E-22</v>
      </c>
      <c r="L9" s="16" t="s">
        <v>86</v>
      </c>
      <c r="M9" s="16"/>
      <c r="N9" s="16"/>
    </row>
    <row r="10" spans="1:14" ht="19.5" x14ac:dyDescent="0.3">
      <c r="A10" s="16"/>
      <c r="B10" s="16"/>
      <c r="C10" s="16"/>
      <c r="D10" s="16"/>
      <c r="E10" s="16"/>
      <c r="F10" s="16"/>
      <c r="G10" s="16"/>
      <c r="H10" s="17" t="s">
        <v>87</v>
      </c>
      <c r="I10" s="26">
        <f>(-I9+SQRT(I9^2-4*K9))/2</f>
        <v>7.3183646642771549E-19</v>
      </c>
      <c r="J10" s="16" t="s">
        <v>99</v>
      </c>
      <c r="K10" s="27">
        <f>I10*G4*1000</f>
        <v>6.9524464310632972E-14</v>
      </c>
      <c r="L10" s="23" t="s">
        <v>109</v>
      </c>
      <c r="M10" s="16"/>
      <c r="N10" s="16"/>
    </row>
    <row r="62" spans="1:1" x14ac:dyDescent="0.25">
      <c r="A62" s="12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CC5CD-E487-4A64-BC5E-B4AD12DBAD81}">
  <dimension ref="A1:N29"/>
  <sheetViews>
    <sheetView workbookViewId="0">
      <selection activeCell="E29" sqref="E29"/>
    </sheetView>
  </sheetViews>
  <sheetFormatPr defaultRowHeight="15" x14ac:dyDescent="0.25"/>
  <cols>
    <col min="5" max="5" width="10.140625" customWidth="1"/>
    <col min="10" max="10" width="9.42578125" bestFit="1" customWidth="1"/>
    <col min="11" max="11" width="10.28515625" customWidth="1"/>
  </cols>
  <sheetData>
    <row r="1" spans="1:14" ht="20.25" x14ac:dyDescent="0.35">
      <c r="A1" s="68" t="s">
        <v>166</v>
      </c>
      <c r="B1" s="31" t="s">
        <v>114</v>
      </c>
      <c r="C1" s="31"/>
      <c r="D1" s="31"/>
      <c r="E1" s="31"/>
      <c r="F1" s="31"/>
      <c r="G1" s="31"/>
      <c r="H1" s="31"/>
      <c r="I1" s="30" t="s">
        <v>115</v>
      </c>
      <c r="J1" s="32">
        <f>'gy4-adat'!C18</f>
        <v>4.8700000000000001E-17</v>
      </c>
      <c r="K1" s="33" t="s">
        <v>116</v>
      </c>
      <c r="L1" s="34"/>
      <c r="M1" s="31"/>
      <c r="N1" s="31"/>
    </row>
    <row r="2" spans="1:14" ht="18.75" x14ac:dyDescent="0.25">
      <c r="A2" s="54"/>
      <c r="B2" s="31"/>
      <c r="C2" s="31"/>
      <c r="D2" s="31"/>
      <c r="E2" s="31"/>
      <c r="F2" s="31"/>
      <c r="G2" s="31"/>
      <c r="H2" s="31"/>
      <c r="I2" s="31"/>
      <c r="J2" s="31"/>
      <c r="K2" s="30" t="s">
        <v>117</v>
      </c>
      <c r="L2" s="35">
        <v>1E-14</v>
      </c>
      <c r="N2" s="31"/>
    </row>
    <row r="3" spans="1:14" ht="18.75" x14ac:dyDescent="0.25">
      <c r="A3" s="54"/>
      <c r="B3" s="36" t="s">
        <v>119</v>
      </c>
      <c r="C3" s="37"/>
      <c r="D3" s="36"/>
      <c r="E3" s="31"/>
      <c r="G3" s="31"/>
      <c r="H3" s="31"/>
      <c r="I3" s="31"/>
      <c r="J3" s="31"/>
      <c r="K3" s="31" t="s">
        <v>118</v>
      </c>
      <c r="L3" s="31"/>
      <c r="M3" s="31"/>
      <c r="N3" s="31"/>
    </row>
    <row r="4" spans="1:14" ht="16.5" thickBot="1" x14ac:dyDescent="0.3">
      <c r="A4" s="54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9.5" thickBot="1" x14ac:dyDescent="0.3">
      <c r="A5" s="54"/>
      <c r="B5" s="44" t="s">
        <v>135</v>
      </c>
      <c r="C5" s="38"/>
      <c r="D5" s="15"/>
      <c r="E5" s="39"/>
      <c r="F5" s="31"/>
      <c r="G5" s="40"/>
      <c r="H5" s="15"/>
      <c r="I5" s="41"/>
      <c r="J5" s="31"/>
      <c r="K5" s="45"/>
      <c r="L5" s="46"/>
      <c r="M5" s="31"/>
      <c r="N5" s="31"/>
    </row>
    <row r="6" spans="1:14" ht="15.75" x14ac:dyDescent="0.25">
      <c r="A6" s="54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</row>
    <row r="7" spans="1:14" ht="20.25" x14ac:dyDescent="0.35">
      <c r="A7" s="68" t="s">
        <v>164</v>
      </c>
      <c r="B7" s="31" t="s">
        <v>123</v>
      </c>
      <c r="C7" s="31"/>
      <c r="D7" s="31"/>
      <c r="E7" s="31"/>
      <c r="F7" s="31"/>
      <c r="G7" s="31"/>
      <c r="H7" s="31"/>
      <c r="I7" s="30" t="s">
        <v>124</v>
      </c>
      <c r="J7" s="32">
        <f>'gy4-adat'!C19</f>
        <v>2.7000000000000001E-39</v>
      </c>
      <c r="K7" s="33" t="s">
        <v>125</v>
      </c>
      <c r="L7" s="34"/>
      <c r="M7" s="31"/>
      <c r="N7" s="31"/>
    </row>
    <row r="8" spans="1:14" ht="18.75" x14ac:dyDescent="0.25">
      <c r="A8" s="54"/>
      <c r="B8" s="31"/>
      <c r="C8" s="31"/>
      <c r="D8" s="31"/>
      <c r="E8" s="31"/>
      <c r="F8" s="31"/>
      <c r="G8" s="31"/>
      <c r="H8" s="31"/>
      <c r="I8" s="31"/>
      <c r="J8" s="31"/>
      <c r="K8" s="30" t="s">
        <v>117</v>
      </c>
      <c r="L8" s="35">
        <v>1E-14</v>
      </c>
      <c r="M8" s="31"/>
      <c r="N8" s="31"/>
    </row>
    <row r="9" spans="1:14" ht="18.75" x14ac:dyDescent="0.25">
      <c r="A9" s="54"/>
      <c r="B9" s="36" t="s">
        <v>126</v>
      </c>
      <c r="C9" s="37"/>
      <c r="D9" s="36"/>
      <c r="E9" s="31"/>
      <c r="H9" s="31"/>
      <c r="I9" s="31"/>
      <c r="J9" s="31"/>
      <c r="K9" s="31" t="s">
        <v>118</v>
      </c>
      <c r="L9" s="31"/>
      <c r="M9" s="31"/>
      <c r="N9" s="31"/>
    </row>
    <row r="10" spans="1:14" ht="16.5" thickBot="1" x14ac:dyDescent="0.3">
      <c r="A10" s="54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19.5" thickBot="1" x14ac:dyDescent="0.3">
      <c r="A11" s="54"/>
      <c r="B11" s="44" t="s">
        <v>133</v>
      </c>
      <c r="C11" s="38"/>
      <c r="D11" s="15"/>
      <c r="E11" s="39"/>
      <c r="F11" s="31"/>
      <c r="G11" s="40"/>
      <c r="H11" s="15"/>
      <c r="I11" s="41"/>
      <c r="J11" s="31"/>
      <c r="K11" s="45"/>
      <c r="L11" s="46"/>
      <c r="M11" s="31"/>
      <c r="N11" s="31"/>
    </row>
    <row r="12" spans="1:14" ht="15.75" x14ac:dyDescent="0.25">
      <c r="A12" s="54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</row>
    <row r="13" spans="1:14" ht="15.75" x14ac:dyDescent="0.25">
      <c r="A13" s="68" t="s">
        <v>165</v>
      </c>
      <c r="B13" s="31" t="s">
        <v>129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15.75" x14ac:dyDescent="0.25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8.75" x14ac:dyDescent="0.25">
      <c r="A15" s="17" t="s">
        <v>111</v>
      </c>
      <c r="B15" s="29" t="s">
        <v>112</v>
      </c>
      <c r="C15" s="29" t="s">
        <v>113</v>
      </c>
      <c r="D15" s="29" t="s">
        <v>130</v>
      </c>
      <c r="E15" s="42" t="s">
        <v>131</v>
      </c>
      <c r="F15" s="29" t="s">
        <v>132</v>
      </c>
      <c r="G15" s="31"/>
      <c r="H15" s="31"/>
      <c r="I15" s="31"/>
      <c r="J15" s="31"/>
      <c r="K15" s="31"/>
      <c r="L15" s="31"/>
      <c r="M15" s="31"/>
      <c r="N15" s="31"/>
    </row>
    <row r="16" spans="1:14" ht="15.75" x14ac:dyDescent="0.25">
      <c r="A16" s="16">
        <v>1</v>
      </c>
      <c r="B16" s="16"/>
      <c r="C16" s="16"/>
      <c r="D16" s="16"/>
      <c r="E16" s="40"/>
      <c r="F16" s="43"/>
      <c r="G16" s="31"/>
      <c r="H16" s="31"/>
      <c r="I16" s="31"/>
      <c r="J16" s="31"/>
      <c r="K16" s="31"/>
      <c r="L16" s="31"/>
      <c r="M16" s="31"/>
      <c r="N16" s="31"/>
    </row>
    <row r="17" spans="1:14" ht="15.75" x14ac:dyDescent="0.25">
      <c r="A17" s="16">
        <v>2</v>
      </c>
      <c r="B17" s="16"/>
      <c r="C17" s="16"/>
      <c r="D17" s="16"/>
      <c r="E17" s="40"/>
      <c r="F17" s="43"/>
      <c r="G17" s="31"/>
      <c r="H17" s="31"/>
      <c r="I17" s="31"/>
      <c r="J17" s="31"/>
      <c r="K17" s="31"/>
      <c r="L17" s="31"/>
      <c r="M17" s="31"/>
      <c r="N17" s="31"/>
    </row>
    <row r="18" spans="1:14" ht="15.75" x14ac:dyDescent="0.25">
      <c r="A18" s="16">
        <v>3</v>
      </c>
      <c r="B18" s="16"/>
      <c r="C18" s="16"/>
      <c r="D18" s="16"/>
      <c r="E18" s="40"/>
      <c r="F18" s="43"/>
      <c r="G18" s="31"/>
      <c r="H18" s="31"/>
      <c r="I18" s="31"/>
      <c r="J18" s="31"/>
      <c r="K18" s="31"/>
      <c r="L18" s="31"/>
      <c r="M18" s="31"/>
      <c r="N18" s="31"/>
    </row>
    <row r="19" spans="1:14" ht="15.75" x14ac:dyDescent="0.25">
      <c r="A19" s="16">
        <v>4</v>
      </c>
      <c r="B19" s="16"/>
      <c r="C19" s="16"/>
      <c r="D19" s="16"/>
      <c r="E19" s="40"/>
      <c r="F19" s="43"/>
      <c r="G19" s="31"/>
      <c r="H19" s="31"/>
      <c r="I19" s="31"/>
      <c r="J19" s="31"/>
      <c r="K19" s="31"/>
      <c r="L19" s="31"/>
      <c r="M19" s="31"/>
      <c r="N19" s="31"/>
    </row>
    <row r="20" spans="1:14" ht="15.75" x14ac:dyDescent="0.25">
      <c r="A20" s="16">
        <v>5</v>
      </c>
      <c r="B20" s="16"/>
      <c r="C20" s="16"/>
      <c r="D20" s="16"/>
      <c r="E20" s="40"/>
      <c r="F20" s="43"/>
      <c r="G20" s="31"/>
      <c r="H20" s="31"/>
      <c r="I20" s="31"/>
      <c r="J20" s="31"/>
      <c r="K20" s="31"/>
      <c r="L20" s="31"/>
      <c r="M20" s="31"/>
      <c r="N20" s="31"/>
    </row>
    <row r="21" spans="1:14" ht="15.75" x14ac:dyDescent="0.25">
      <c r="A21" s="16">
        <v>6</v>
      </c>
      <c r="B21" s="16"/>
      <c r="C21" s="16"/>
      <c r="D21" s="16"/>
      <c r="E21" s="40"/>
      <c r="F21" s="43"/>
      <c r="G21" s="31"/>
      <c r="H21" s="31"/>
      <c r="I21" s="31"/>
      <c r="J21" s="31"/>
      <c r="K21" s="31"/>
      <c r="L21" s="31"/>
      <c r="M21" s="31"/>
      <c r="N21" s="31"/>
    </row>
    <row r="22" spans="1:14" ht="15.75" x14ac:dyDescent="0.25">
      <c r="A22" s="16">
        <v>7</v>
      </c>
      <c r="B22" s="16"/>
      <c r="C22" s="16"/>
      <c r="D22" s="16"/>
      <c r="E22" s="40"/>
      <c r="F22" s="43"/>
      <c r="G22" s="31"/>
      <c r="H22" s="31"/>
      <c r="I22" s="31"/>
      <c r="J22" s="31"/>
      <c r="K22" s="31"/>
      <c r="L22" s="31"/>
      <c r="M22" s="31"/>
      <c r="N22" s="31"/>
    </row>
    <row r="23" spans="1:14" ht="15.75" x14ac:dyDescent="0.25">
      <c r="A23" s="16">
        <v>8</v>
      </c>
      <c r="B23" s="16"/>
      <c r="C23" s="16"/>
      <c r="D23" s="16"/>
      <c r="E23" s="40"/>
      <c r="F23" s="43"/>
      <c r="G23" s="31"/>
      <c r="H23" s="31"/>
      <c r="I23" s="31"/>
      <c r="J23" s="31"/>
      <c r="K23" s="31"/>
      <c r="L23" s="31"/>
      <c r="M23" s="31"/>
      <c r="N23" s="31"/>
    </row>
    <row r="24" spans="1:14" ht="15.75" x14ac:dyDescent="0.25">
      <c r="A24" s="16">
        <v>9</v>
      </c>
      <c r="B24" s="16"/>
      <c r="C24" s="16"/>
      <c r="D24" s="16"/>
      <c r="E24" s="40"/>
      <c r="F24" s="43"/>
      <c r="G24" s="31"/>
      <c r="H24" s="31"/>
      <c r="I24" s="31"/>
      <c r="J24" s="31"/>
      <c r="K24" s="31"/>
      <c r="L24" s="31"/>
      <c r="M24" s="31"/>
      <c r="N24" s="31"/>
    </row>
    <row r="25" spans="1:14" ht="15.75" x14ac:dyDescent="0.25">
      <c r="A25" s="16">
        <v>10</v>
      </c>
      <c r="B25" s="16"/>
      <c r="C25" s="16"/>
      <c r="D25" s="16"/>
      <c r="E25" s="40"/>
      <c r="F25" s="43"/>
      <c r="G25" s="31"/>
      <c r="H25" s="31"/>
      <c r="I25" s="31"/>
      <c r="J25" s="31"/>
      <c r="K25" s="31"/>
      <c r="L25" s="31"/>
      <c r="M25" s="31"/>
      <c r="N25" s="31"/>
    </row>
    <row r="26" spans="1:14" ht="15.75" x14ac:dyDescent="0.25">
      <c r="A26" s="16">
        <v>11</v>
      </c>
      <c r="B26" s="16"/>
      <c r="C26" s="16"/>
      <c r="D26" s="16"/>
      <c r="E26" s="40"/>
      <c r="F26" s="43"/>
      <c r="G26" s="31"/>
      <c r="H26" s="31"/>
      <c r="I26" s="31"/>
      <c r="J26" s="31"/>
      <c r="K26" s="31"/>
      <c r="L26" s="31"/>
      <c r="M26" s="31"/>
      <c r="N26" s="31"/>
    </row>
    <row r="27" spans="1:14" ht="15.75" x14ac:dyDescent="0.25">
      <c r="A27" s="16">
        <v>12</v>
      </c>
      <c r="B27" s="16"/>
      <c r="C27" s="16"/>
      <c r="D27" s="16"/>
      <c r="E27" s="40"/>
      <c r="F27" s="43"/>
      <c r="G27" s="31"/>
      <c r="H27" s="31"/>
      <c r="I27" s="31"/>
      <c r="J27" s="31"/>
      <c r="K27" s="31"/>
      <c r="L27" s="31"/>
      <c r="M27" s="31"/>
      <c r="N27" s="31"/>
    </row>
    <row r="28" spans="1:14" ht="15.75" x14ac:dyDescent="0.25">
      <c r="A28" s="16">
        <v>13</v>
      </c>
      <c r="B28" s="16"/>
      <c r="C28" s="16"/>
      <c r="D28" s="16"/>
      <c r="E28" s="40"/>
      <c r="F28" s="43"/>
      <c r="G28" s="31"/>
      <c r="H28" s="31"/>
      <c r="I28" s="31"/>
      <c r="J28" s="31"/>
      <c r="K28" s="31"/>
      <c r="L28" s="31"/>
      <c r="M28" s="31"/>
      <c r="N28" s="31"/>
    </row>
    <row r="29" spans="1:14" ht="15.75" x14ac:dyDescent="0.25">
      <c r="A29" s="16">
        <v>14</v>
      </c>
      <c r="B29" s="16"/>
      <c r="C29" s="16"/>
      <c r="D29" s="16"/>
      <c r="E29" s="40"/>
      <c r="F29" s="43"/>
      <c r="G29" s="31"/>
      <c r="H29" s="31"/>
      <c r="I29" s="31"/>
      <c r="J29" s="31"/>
      <c r="K29" s="31"/>
      <c r="L29" s="31"/>
      <c r="M29" s="31"/>
      <c r="N29" s="3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12072-A232-4693-B4F2-C921B43ED843}">
  <dimension ref="A1:N30"/>
  <sheetViews>
    <sheetView zoomScale="140" zoomScaleNormal="140" workbookViewId="0">
      <selection activeCell="B7" sqref="B7"/>
    </sheetView>
  </sheetViews>
  <sheetFormatPr defaultRowHeight="15" x14ac:dyDescent="0.25"/>
  <cols>
    <col min="1" max="1" width="5" customWidth="1"/>
    <col min="5" max="5" width="10.140625" customWidth="1"/>
    <col min="10" max="10" width="9.42578125" bestFit="1" customWidth="1"/>
    <col min="11" max="11" width="10.28515625" customWidth="1"/>
  </cols>
  <sheetData>
    <row r="1" spans="1:14" ht="20.25" x14ac:dyDescent="0.35">
      <c r="A1" s="68" t="s">
        <v>167</v>
      </c>
      <c r="B1" s="31" t="s">
        <v>114</v>
      </c>
      <c r="C1" s="31"/>
      <c r="D1" s="31"/>
      <c r="E1" s="31"/>
      <c r="F1" s="31"/>
      <c r="G1" s="31"/>
      <c r="H1" s="31"/>
      <c r="I1" s="30" t="s">
        <v>115</v>
      </c>
      <c r="J1" s="32">
        <f>'gy4-adat'!C18</f>
        <v>4.8700000000000001E-17</v>
      </c>
      <c r="K1" s="33" t="s">
        <v>116</v>
      </c>
      <c r="L1" s="34"/>
      <c r="M1" s="31"/>
      <c r="N1" s="31"/>
    </row>
    <row r="2" spans="1:14" ht="18.75" x14ac:dyDescent="0.25">
      <c r="A2" s="54"/>
      <c r="B2" s="31"/>
      <c r="C2" s="31"/>
      <c r="D2" s="31"/>
      <c r="E2" s="31"/>
      <c r="F2" s="31"/>
      <c r="G2" s="31"/>
      <c r="H2" s="31"/>
      <c r="I2" s="31"/>
      <c r="J2" s="31"/>
      <c r="K2" s="30" t="s">
        <v>117</v>
      </c>
      <c r="L2" s="35">
        <v>1E-14</v>
      </c>
      <c r="N2" s="31"/>
    </row>
    <row r="3" spans="1:14" ht="23.25" x14ac:dyDescent="0.35">
      <c r="A3" s="54"/>
      <c r="B3" s="59" t="s">
        <v>119</v>
      </c>
      <c r="C3" s="37">
        <f>J1</f>
        <v>4.8700000000000001E-17</v>
      </c>
      <c r="D3" s="34" t="s">
        <v>161</v>
      </c>
      <c r="E3" s="31"/>
      <c r="G3" s="31"/>
      <c r="H3" s="31"/>
      <c r="I3" s="31"/>
      <c r="J3" s="31"/>
      <c r="K3" s="62" t="s">
        <v>118</v>
      </c>
      <c r="L3" s="62"/>
      <c r="M3" s="31"/>
      <c r="N3" s="31"/>
    </row>
    <row r="4" spans="1:14" ht="16.5" thickBot="1" x14ac:dyDescent="0.3">
      <c r="A4" s="54"/>
      <c r="E4" s="31"/>
      <c r="F4" s="31"/>
      <c r="G4" s="31"/>
      <c r="H4" s="31"/>
      <c r="I4" s="31"/>
      <c r="J4" s="31"/>
      <c r="K4" s="31"/>
      <c r="L4" s="31"/>
      <c r="M4" s="31"/>
      <c r="N4" s="31"/>
    </row>
    <row r="5" spans="1:14" ht="19.5" thickBot="1" x14ac:dyDescent="0.3">
      <c r="A5" s="54"/>
      <c r="B5" s="44" t="s">
        <v>135</v>
      </c>
      <c r="C5" s="38">
        <f>J1</f>
        <v>4.8700000000000001E-17</v>
      </c>
      <c r="D5" s="60" t="s">
        <v>120</v>
      </c>
      <c r="E5" s="61">
        <f>L2^2</f>
        <v>9.9999999999999997E-29</v>
      </c>
      <c r="F5" s="31" t="s">
        <v>121</v>
      </c>
      <c r="G5" s="40">
        <f>J1</f>
        <v>4.8700000000000001E-17</v>
      </c>
      <c r="H5" s="15" t="s">
        <v>122</v>
      </c>
      <c r="I5" s="41">
        <f>1/E5</f>
        <v>9.9999999999999996E+27</v>
      </c>
      <c r="J5" s="31" t="s">
        <v>121</v>
      </c>
      <c r="K5" s="64">
        <f>G5*I5</f>
        <v>487000000000</v>
      </c>
      <c r="L5" s="65" t="s">
        <v>136</v>
      </c>
      <c r="M5" s="31"/>
      <c r="N5" s="31"/>
    </row>
    <row r="6" spans="1:14" ht="15.75" x14ac:dyDescent="0.25">
      <c r="A6" s="54"/>
      <c r="B6" s="31"/>
      <c r="C6" s="31"/>
      <c r="D6" s="63" t="s">
        <v>160</v>
      </c>
      <c r="E6" s="31"/>
      <c r="F6" s="31"/>
      <c r="G6" s="31"/>
      <c r="H6" s="31"/>
      <c r="I6" s="63" t="s">
        <v>162</v>
      </c>
      <c r="J6" s="31"/>
      <c r="K6" s="31"/>
      <c r="L6" s="31"/>
      <c r="M6" s="31"/>
      <c r="N6" s="31"/>
    </row>
    <row r="7" spans="1:14" ht="15.75" x14ac:dyDescent="0.25">
      <c r="B7" s="31"/>
      <c r="C7" s="31"/>
      <c r="D7" s="63"/>
      <c r="E7" s="31"/>
      <c r="F7" s="31"/>
      <c r="G7" s="31"/>
      <c r="H7" s="31"/>
      <c r="I7" s="63"/>
      <c r="J7" s="31"/>
      <c r="K7" s="31"/>
      <c r="L7" s="31"/>
      <c r="M7" s="31"/>
      <c r="N7" s="31"/>
    </row>
    <row r="8" spans="1:14" ht="20.25" x14ac:dyDescent="0.35">
      <c r="A8" s="68" t="s">
        <v>164</v>
      </c>
      <c r="B8" s="31" t="s">
        <v>123</v>
      </c>
      <c r="C8" s="31"/>
      <c r="D8" s="31"/>
      <c r="E8" s="31"/>
      <c r="F8" s="31"/>
      <c r="G8" s="31"/>
      <c r="H8" s="31"/>
      <c r="I8" s="30" t="s">
        <v>124</v>
      </c>
      <c r="J8" s="32">
        <f>'gy4-adat'!C19</f>
        <v>2.7000000000000001E-39</v>
      </c>
      <c r="K8" s="33" t="s">
        <v>125</v>
      </c>
      <c r="L8" s="34"/>
      <c r="M8" s="31"/>
      <c r="N8" s="31"/>
    </row>
    <row r="9" spans="1:14" ht="18.75" x14ac:dyDescent="0.25">
      <c r="A9" s="54"/>
      <c r="B9" s="31"/>
      <c r="C9" s="31"/>
      <c r="D9" s="31"/>
      <c r="E9" s="31"/>
      <c r="F9" s="31"/>
      <c r="G9" s="31"/>
      <c r="H9" s="31"/>
      <c r="I9" s="31"/>
      <c r="J9" s="31"/>
      <c r="K9" s="30" t="s">
        <v>117</v>
      </c>
      <c r="L9" s="35">
        <v>1E-14</v>
      </c>
      <c r="M9" s="31"/>
      <c r="N9" s="31"/>
    </row>
    <row r="10" spans="1:14" ht="19.5" x14ac:dyDescent="0.3">
      <c r="A10" s="54"/>
      <c r="B10" s="59" t="s">
        <v>126</v>
      </c>
      <c r="C10" s="37">
        <f>J8</f>
        <v>2.7000000000000001E-39</v>
      </c>
      <c r="D10" s="34" t="s">
        <v>163</v>
      </c>
      <c r="E10" s="31"/>
      <c r="H10" s="31"/>
      <c r="I10" s="31"/>
      <c r="J10" s="31"/>
      <c r="K10" s="62" t="s">
        <v>118</v>
      </c>
      <c r="L10" s="62"/>
      <c r="M10" s="31"/>
      <c r="N10" s="31"/>
    </row>
    <row r="11" spans="1:14" ht="16.5" thickBot="1" x14ac:dyDescent="0.3">
      <c r="A11" s="54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ht="19.5" thickBot="1" x14ac:dyDescent="0.3">
      <c r="A12" s="54"/>
      <c r="B12" s="44" t="s">
        <v>133</v>
      </c>
      <c r="C12" s="38">
        <f>J8</f>
        <v>2.7000000000000001E-39</v>
      </c>
      <c r="D12" s="60" t="s">
        <v>127</v>
      </c>
      <c r="E12" s="61">
        <f>L9^3</f>
        <v>1E-42</v>
      </c>
      <c r="F12" s="31" t="s">
        <v>121</v>
      </c>
      <c r="G12" s="40">
        <f>J8</f>
        <v>2.7000000000000001E-39</v>
      </c>
      <c r="H12" s="15" t="s">
        <v>128</v>
      </c>
      <c r="I12" s="41">
        <f>1/E12</f>
        <v>9.9999999999999989E+41</v>
      </c>
      <c r="J12" s="31" t="s">
        <v>121</v>
      </c>
      <c r="K12" s="64">
        <f>G12*I12</f>
        <v>2699.9999999999995</v>
      </c>
      <c r="L12" s="65" t="s">
        <v>134</v>
      </c>
      <c r="M12" s="31"/>
      <c r="N12" s="31"/>
    </row>
    <row r="13" spans="1:14" ht="15.75" x14ac:dyDescent="0.25">
      <c r="A13" s="54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15.75" x14ac:dyDescent="0.25">
      <c r="A14" s="68" t="s">
        <v>165</v>
      </c>
      <c r="B14" s="31" t="s">
        <v>129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</row>
    <row r="15" spans="1:14" ht="12" customHeight="1" thickBot="1" x14ac:dyDescent="0.3">
      <c r="A15" s="3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</row>
    <row r="16" spans="1:14" ht="19.5" thickBot="1" x14ac:dyDescent="0.3">
      <c r="A16" s="17" t="s">
        <v>111</v>
      </c>
      <c r="B16" s="29" t="s">
        <v>112</v>
      </c>
      <c r="C16" s="29" t="s">
        <v>113</v>
      </c>
      <c r="D16" s="29" t="s">
        <v>130</v>
      </c>
      <c r="E16" s="66" t="s">
        <v>131</v>
      </c>
      <c r="F16" s="67" t="s">
        <v>132</v>
      </c>
      <c r="G16" s="31"/>
      <c r="H16" s="31"/>
      <c r="I16" s="31"/>
      <c r="J16" s="31"/>
      <c r="K16" s="31"/>
      <c r="L16" s="31"/>
      <c r="M16" s="31"/>
      <c r="N16" s="31"/>
    </row>
    <row r="17" spans="1:14" ht="15.75" x14ac:dyDescent="0.25">
      <c r="A17" s="16">
        <v>1</v>
      </c>
      <c r="B17" s="16">
        <f>10^-A17</f>
        <v>0.1</v>
      </c>
      <c r="C17" s="16">
        <f>B17*B17</f>
        <v>1.0000000000000002E-2</v>
      </c>
      <c r="D17" s="16">
        <f>C17*B17</f>
        <v>1.0000000000000002E-3</v>
      </c>
      <c r="E17" s="40">
        <f>$K$5*C17</f>
        <v>4870000000.000001</v>
      </c>
      <c r="F17" s="43">
        <f>$K$12*D17</f>
        <v>2.7</v>
      </c>
      <c r="G17" s="31"/>
      <c r="H17" s="31"/>
      <c r="I17" s="31"/>
      <c r="J17" s="31"/>
      <c r="K17" s="31"/>
      <c r="L17" s="31"/>
      <c r="M17" s="31"/>
      <c r="N17" s="31"/>
    </row>
    <row r="18" spans="1:14" ht="15.75" x14ac:dyDescent="0.25">
      <c r="A18" s="16">
        <v>2</v>
      </c>
      <c r="B18" s="16">
        <f t="shared" ref="B18:B30" si="0">10^-A18</f>
        <v>0.01</v>
      </c>
      <c r="C18" s="16">
        <f t="shared" ref="C18:C30" si="1">B18*B18</f>
        <v>1E-4</v>
      </c>
      <c r="D18" s="16">
        <f t="shared" ref="D18:D30" si="2">C18*B18</f>
        <v>1.0000000000000002E-6</v>
      </c>
      <c r="E18" s="40">
        <f t="shared" ref="E18:E30" si="3">$K$5*C18</f>
        <v>48700000</v>
      </c>
      <c r="F18" s="43">
        <f t="shared" ref="F18:F30" si="4">$K$12*D18</f>
        <v>2.7000000000000001E-3</v>
      </c>
      <c r="G18" s="31"/>
      <c r="H18" s="31"/>
      <c r="I18" s="31"/>
      <c r="J18" s="31"/>
      <c r="K18" s="31"/>
      <c r="L18" s="31"/>
      <c r="M18" s="31"/>
      <c r="N18" s="31"/>
    </row>
    <row r="19" spans="1:14" ht="15.75" x14ac:dyDescent="0.25">
      <c r="A19" s="16">
        <v>3</v>
      </c>
      <c r="B19" s="16">
        <f t="shared" si="0"/>
        <v>1E-3</v>
      </c>
      <c r="C19" s="16">
        <f t="shared" si="1"/>
        <v>9.9999999999999995E-7</v>
      </c>
      <c r="D19" s="16">
        <f t="shared" si="2"/>
        <v>1.0000000000000001E-9</v>
      </c>
      <c r="E19" s="40">
        <f t="shared" si="3"/>
        <v>487000</v>
      </c>
      <c r="F19" s="43">
        <f t="shared" si="4"/>
        <v>2.6999999999999996E-6</v>
      </c>
      <c r="G19" s="31"/>
      <c r="H19" s="31"/>
      <c r="I19" s="31"/>
      <c r="J19" s="31"/>
      <c r="K19" s="31"/>
      <c r="L19" s="31"/>
      <c r="M19" s="31"/>
      <c r="N19" s="31"/>
    </row>
    <row r="20" spans="1:14" ht="15.75" x14ac:dyDescent="0.25">
      <c r="A20" s="16">
        <v>4</v>
      </c>
      <c r="B20" s="16">
        <f t="shared" si="0"/>
        <v>1E-4</v>
      </c>
      <c r="C20" s="16">
        <f t="shared" si="1"/>
        <v>1E-8</v>
      </c>
      <c r="D20" s="16">
        <f t="shared" si="2"/>
        <v>9.9999999999999998E-13</v>
      </c>
      <c r="E20" s="40">
        <f t="shared" si="3"/>
        <v>4870</v>
      </c>
      <c r="F20" s="43">
        <f t="shared" si="4"/>
        <v>2.6999999999999994E-9</v>
      </c>
      <c r="G20" s="31"/>
      <c r="H20" s="31"/>
      <c r="I20" s="31"/>
      <c r="J20" s="31"/>
      <c r="K20" s="31"/>
      <c r="L20" s="31"/>
      <c r="M20" s="31"/>
      <c r="N20" s="31"/>
    </row>
    <row r="21" spans="1:14" ht="15.75" x14ac:dyDescent="0.25">
      <c r="A21" s="16">
        <v>5</v>
      </c>
      <c r="B21" s="16">
        <f t="shared" si="0"/>
        <v>1.0000000000000001E-5</v>
      </c>
      <c r="C21" s="16">
        <f t="shared" si="1"/>
        <v>1.0000000000000002E-10</v>
      </c>
      <c r="D21" s="16">
        <f t="shared" si="2"/>
        <v>1.0000000000000003E-15</v>
      </c>
      <c r="E21" s="40">
        <f t="shared" si="3"/>
        <v>48.70000000000001</v>
      </c>
      <c r="F21" s="43">
        <f t="shared" si="4"/>
        <v>2.7000000000000002E-12</v>
      </c>
      <c r="G21" s="31"/>
      <c r="H21" s="31"/>
      <c r="I21" s="31"/>
      <c r="J21" s="31"/>
      <c r="K21" s="31"/>
      <c r="L21" s="31"/>
      <c r="M21" s="31"/>
      <c r="N21" s="31"/>
    </row>
    <row r="22" spans="1:14" ht="15.75" x14ac:dyDescent="0.25">
      <c r="A22" s="16">
        <v>6</v>
      </c>
      <c r="B22" s="16">
        <f t="shared" si="0"/>
        <v>9.9999999999999995E-7</v>
      </c>
      <c r="C22" s="16">
        <f t="shared" si="1"/>
        <v>9.9999999999999998E-13</v>
      </c>
      <c r="D22" s="16">
        <f t="shared" si="2"/>
        <v>9.9999999999999988E-19</v>
      </c>
      <c r="E22" s="40">
        <f t="shared" si="3"/>
        <v>0.48699999999999999</v>
      </c>
      <c r="F22" s="43">
        <f t="shared" si="4"/>
        <v>2.6999999999999993E-15</v>
      </c>
      <c r="G22" s="31"/>
      <c r="H22" s="31"/>
      <c r="I22" s="31"/>
      <c r="J22" s="31"/>
      <c r="K22" s="31"/>
      <c r="L22" s="31"/>
      <c r="M22" s="31"/>
      <c r="N22" s="31"/>
    </row>
    <row r="23" spans="1:14" ht="15.75" x14ac:dyDescent="0.25">
      <c r="A23" s="16">
        <v>7</v>
      </c>
      <c r="B23" s="16">
        <f t="shared" si="0"/>
        <v>9.9999999999999995E-8</v>
      </c>
      <c r="C23" s="16">
        <f t="shared" si="1"/>
        <v>9.9999999999999984E-15</v>
      </c>
      <c r="D23" s="16">
        <f t="shared" si="2"/>
        <v>9.9999999999999972E-22</v>
      </c>
      <c r="E23" s="40">
        <f t="shared" si="3"/>
        <v>4.8699999999999993E-3</v>
      </c>
      <c r="F23" s="43">
        <f t="shared" si="4"/>
        <v>2.6999999999999987E-18</v>
      </c>
      <c r="G23" s="31"/>
      <c r="H23" s="31"/>
      <c r="I23" s="31"/>
      <c r="J23" s="31"/>
      <c r="K23" s="31"/>
      <c r="L23" s="31"/>
      <c r="M23" s="31"/>
      <c r="N23" s="31"/>
    </row>
    <row r="24" spans="1:14" ht="15.75" x14ac:dyDescent="0.25">
      <c r="A24" s="16">
        <v>8</v>
      </c>
      <c r="B24" s="16">
        <f t="shared" si="0"/>
        <v>1E-8</v>
      </c>
      <c r="C24" s="16">
        <f t="shared" si="1"/>
        <v>1.0000000000000001E-16</v>
      </c>
      <c r="D24" s="16">
        <f t="shared" si="2"/>
        <v>1.0000000000000001E-24</v>
      </c>
      <c r="E24" s="40">
        <f t="shared" si="3"/>
        <v>4.8700000000000005E-5</v>
      </c>
      <c r="F24" s="43">
        <f t="shared" si="4"/>
        <v>2.6999999999999997E-21</v>
      </c>
      <c r="G24" s="31"/>
      <c r="H24" s="31"/>
      <c r="I24" s="31"/>
      <c r="J24" s="31"/>
      <c r="K24" s="31"/>
      <c r="L24" s="31"/>
      <c r="M24" s="31"/>
      <c r="N24" s="31"/>
    </row>
    <row r="25" spans="1:14" ht="15.75" x14ac:dyDescent="0.25">
      <c r="A25" s="16">
        <v>9</v>
      </c>
      <c r="B25" s="16">
        <f t="shared" si="0"/>
        <v>1.0000000000000001E-9</v>
      </c>
      <c r="C25" s="16">
        <f t="shared" si="1"/>
        <v>1.0000000000000001E-18</v>
      </c>
      <c r="D25" s="16">
        <f t="shared" si="2"/>
        <v>1.0000000000000002E-27</v>
      </c>
      <c r="E25" s="40">
        <f t="shared" si="3"/>
        <v>4.8700000000000006E-7</v>
      </c>
      <c r="F25" s="43">
        <f t="shared" si="4"/>
        <v>2.7000000000000001E-24</v>
      </c>
      <c r="G25" s="31"/>
      <c r="H25" s="31"/>
      <c r="I25" s="31"/>
      <c r="J25" s="31"/>
      <c r="K25" s="31"/>
      <c r="L25" s="31"/>
      <c r="M25" s="31"/>
      <c r="N25" s="31"/>
    </row>
    <row r="26" spans="1:14" ht="15.75" x14ac:dyDescent="0.25">
      <c r="A26" s="16">
        <v>10</v>
      </c>
      <c r="B26" s="16">
        <f t="shared" si="0"/>
        <v>1E-10</v>
      </c>
      <c r="C26" s="16">
        <f t="shared" si="1"/>
        <v>1.0000000000000001E-20</v>
      </c>
      <c r="D26" s="16">
        <f t="shared" si="2"/>
        <v>1.0000000000000001E-30</v>
      </c>
      <c r="E26" s="40">
        <f t="shared" si="3"/>
        <v>4.8700000000000008E-9</v>
      </c>
      <c r="F26" s="43">
        <f t="shared" si="4"/>
        <v>2.6999999999999999E-27</v>
      </c>
      <c r="G26" s="31"/>
      <c r="H26" s="31"/>
      <c r="I26" s="31"/>
      <c r="J26" s="31"/>
      <c r="K26" s="31"/>
      <c r="L26" s="31"/>
      <c r="M26" s="31"/>
      <c r="N26" s="31"/>
    </row>
    <row r="27" spans="1:14" ht="15.75" x14ac:dyDescent="0.25">
      <c r="A27" s="16">
        <v>11</v>
      </c>
      <c r="B27" s="16">
        <f t="shared" si="0"/>
        <v>9.9999999999999994E-12</v>
      </c>
      <c r="C27" s="16">
        <f t="shared" si="1"/>
        <v>9.9999999999999993E-23</v>
      </c>
      <c r="D27" s="16">
        <f t="shared" si="2"/>
        <v>9.9999999999999988E-34</v>
      </c>
      <c r="E27" s="40">
        <f t="shared" si="3"/>
        <v>4.8699999999999997E-11</v>
      </c>
      <c r="F27" s="43">
        <f t="shared" si="4"/>
        <v>2.6999999999999992E-30</v>
      </c>
      <c r="G27" s="31"/>
      <c r="H27" s="31"/>
      <c r="I27" s="31"/>
      <c r="J27" s="31"/>
      <c r="K27" s="31"/>
      <c r="L27" s="31"/>
      <c r="M27" s="31"/>
      <c r="N27" s="31"/>
    </row>
    <row r="28" spans="1:14" ht="15.75" x14ac:dyDescent="0.25">
      <c r="A28" s="16">
        <v>12</v>
      </c>
      <c r="B28" s="16">
        <f t="shared" si="0"/>
        <v>9.9999999999999998E-13</v>
      </c>
      <c r="C28" s="16">
        <f t="shared" si="1"/>
        <v>9.9999999999999992E-25</v>
      </c>
      <c r="D28" s="16">
        <f t="shared" si="2"/>
        <v>9.9999999999999994E-37</v>
      </c>
      <c r="E28" s="40">
        <f t="shared" si="3"/>
        <v>4.8699999999999994E-13</v>
      </c>
      <c r="F28" s="43">
        <f t="shared" si="4"/>
        <v>2.6999999999999994E-33</v>
      </c>
      <c r="G28" s="31"/>
      <c r="H28" s="31"/>
      <c r="I28" s="31"/>
      <c r="J28" s="31"/>
      <c r="K28" s="31"/>
      <c r="L28" s="31"/>
      <c r="M28" s="31"/>
      <c r="N28" s="31"/>
    </row>
    <row r="29" spans="1:14" ht="15.75" x14ac:dyDescent="0.25">
      <c r="A29" s="16">
        <v>13</v>
      </c>
      <c r="B29" s="16">
        <f t="shared" si="0"/>
        <v>1E-13</v>
      </c>
      <c r="C29" s="16">
        <f t="shared" si="1"/>
        <v>1E-26</v>
      </c>
      <c r="D29" s="16">
        <f t="shared" si="2"/>
        <v>1.0000000000000001E-39</v>
      </c>
      <c r="E29" s="40">
        <f t="shared" si="3"/>
        <v>4.8699999999999999E-15</v>
      </c>
      <c r="F29" s="43">
        <f t="shared" si="4"/>
        <v>2.6999999999999997E-36</v>
      </c>
      <c r="G29" s="31"/>
      <c r="H29" s="31"/>
      <c r="I29" s="31"/>
      <c r="J29" s="31"/>
      <c r="K29" s="31"/>
      <c r="L29" s="31"/>
      <c r="M29" s="31"/>
      <c r="N29" s="31"/>
    </row>
    <row r="30" spans="1:14" ht="15.75" x14ac:dyDescent="0.25">
      <c r="A30" s="16">
        <v>14</v>
      </c>
      <c r="B30" s="16">
        <f t="shared" si="0"/>
        <v>1E-14</v>
      </c>
      <c r="C30" s="16">
        <f t="shared" si="1"/>
        <v>9.9999999999999997E-29</v>
      </c>
      <c r="D30" s="16">
        <f t="shared" si="2"/>
        <v>1E-42</v>
      </c>
      <c r="E30" s="40">
        <f t="shared" si="3"/>
        <v>4.8700000000000001E-17</v>
      </c>
      <c r="F30" s="43">
        <f t="shared" si="4"/>
        <v>2.6999999999999997E-39</v>
      </c>
      <c r="G30" s="31"/>
      <c r="H30" s="31"/>
      <c r="I30" s="31"/>
      <c r="J30" s="31"/>
      <c r="K30" s="31"/>
      <c r="L30" s="31"/>
      <c r="M30" s="31"/>
      <c r="N30" s="31"/>
    </row>
  </sheetData>
  <pageMargins left="0.25" right="0.25" top="0.75" bottom="0.75" header="0.3" footer="0.3"/>
  <pageSetup paperSize="9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3453E-FF1B-48A5-B549-86A58440155F}">
  <dimension ref="A1:N40"/>
  <sheetViews>
    <sheetView topLeftCell="A7" zoomScale="150" zoomScaleNormal="150" workbookViewId="0">
      <selection activeCell="E22" sqref="E22"/>
    </sheetView>
  </sheetViews>
  <sheetFormatPr defaultRowHeight="15.75" x14ac:dyDescent="0.25"/>
  <cols>
    <col min="1" max="1" width="9.140625" style="31"/>
    <col min="2" max="2" width="9.28515625" style="31" bestFit="1" customWidth="1"/>
    <col min="3" max="3" width="10.28515625" style="31" customWidth="1"/>
    <col min="4" max="4" width="9.28515625" style="31" bestFit="1" customWidth="1"/>
    <col min="5" max="5" width="11.42578125" style="31" customWidth="1"/>
    <col min="6" max="6" width="9.28515625" style="31" bestFit="1" customWidth="1"/>
    <col min="7" max="7" width="9.85546875" style="31" bestFit="1" customWidth="1"/>
    <col min="8" max="8" width="9.28515625" style="31" bestFit="1" customWidth="1"/>
    <col min="9" max="9" width="9.85546875" style="31" bestFit="1" customWidth="1"/>
    <col min="10" max="11" width="9.28515625" style="31" bestFit="1" customWidth="1"/>
    <col min="12" max="12" width="9.140625" style="31"/>
    <col min="13" max="13" width="9.28515625" style="31" bestFit="1" customWidth="1"/>
    <col min="14" max="16384" width="9.140625" style="31"/>
  </cols>
  <sheetData>
    <row r="1" spans="1:14" ht="20.25" x14ac:dyDescent="0.35">
      <c r="A1" s="76" t="s">
        <v>57</v>
      </c>
      <c r="B1" s="31" t="s">
        <v>183</v>
      </c>
    </row>
    <row r="2" spans="1:14" ht="18.75" x14ac:dyDescent="0.35">
      <c r="B2" s="31" t="s">
        <v>185</v>
      </c>
      <c r="E2" s="40">
        <f>'gy4-adat'!C22</f>
        <v>1.7E-5</v>
      </c>
      <c r="G2" s="30" t="s">
        <v>62</v>
      </c>
      <c r="H2" s="31" t="s">
        <v>186</v>
      </c>
      <c r="L2" s="30"/>
      <c r="M2" s="30"/>
    </row>
    <row r="3" spans="1:14" ht="20.25" x14ac:dyDescent="0.35">
      <c r="D3" s="31" t="s">
        <v>187</v>
      </c>
      <c r="E3" s="40" t="s">
        <v>188</v>
      </c>
      <c r="G3" s="30"/>
    </row>
    <row r="4" spans="1:14" x14ac:dyDescent="0.25">
      <c r="E4" s="40" t="s">
        <v>189</v>
      </c>
      <c r="G4" s="30"/>
    </row>
    <row r="5" spans="1:14" ht="20.25" x14ac:dyDescent="0.35">
      <c r="B5" s="30" t="s">
        <v>193</v>
      </c>
      <c r="C5" s="31" t="s">
        <v>184</v>
      </c>
      <c r="E5" s="40">
        <f>E2</f>
        <v>1.7E-5</v>
      </c>
      <c r="F5" s="31" t="s">
        <v>190</v>
      </c>
      <c r="H5" s="30" t="s">
        <v>148</v>
      </c>
      <c r="I5" s="40">
        <f>(E5/4)^(1/3)</f>
        <v>1.6198059006387423E-2</v>
      </c>
      <c r="J5" s="31" t="s">
        <v>191</v>
      </c>
    </row>
    <row r="6" spans="1:14" ht="18.75" x14ac:dyDescent="0.25">
      <c r="B6" s="77" t="s">
        <v>192</v>
      </c>
      <c r="C6" s="77"/>
      <c r="D6" s="78">
        <f>I5</f>
        <v>1.6198059006387423E-2</v>
      </c>
      <c r="E6" s="77" t="s">
        <v>69</v>
      </c>
      <c r="F6" s="42">
        <v>207</v>
      </c>
      <c r="G6" s="31" t="s">
        <v>70</v>
      </c>
      <c r="H6" s="31">
        <f>D6*F6</f>
        <v>3.3529982143221964</v>
      </c>
      <c r="I6" s="31" t="s">
        <v>71</v>
      </c>
      <c r="J6" s="79">
        <f>1000*H6</f>
        <v>3352.9982143221964</v>
      </c>
      <c r="K6" s="77" t="s">
        <v>31</v>
      </c>
    </row>
    <row r="8" spans="1:14" ht="20.25" x14ac:dyDescent="0.35">
      <c r="A8" s="76" t="s">
        <v>59</v>
      </c>
      <c r="B8" s="31" t="s">
        <v>194</v>
      </c>
      <c r="K8"/>
      <c r="L8"/>
    </row>
    <row r="9" spans="1:14" ht="18.75" x14ac:dyDescent="0.35">
      <c r="B9" s="31" t="s">
        <v>185</v>
      </c>
      <c r="E9" s="40">
        <f>E2</f>
        <v>1.7E-5</v>
      </c>
      <c r="G9" s="30" t="s">
        <v>62</v>
      </c>
      <c r="H9" s="31" t="s">
        <v>195</v>
      </c>
    </row>
    <row r="11" spans="1:14" x14ac:dyDescent="0.25">
      <c r="B11" s="30" t="s">
        <v>196</v>
      </c>
      <c r="C11" s="31">
        <f>23+35.5</f>
        <v>58.5</v>
      </c>
      <c r="D11" s="31" t="s">
        <v>75</v>
      </c>
      <c r="E11" s="31" t="s">
        <v>197</v>
      </c>
      <c r="G11" s="31">
        <v>10</v>
      </c>
      <c r="H11" s="31" t="s">
        <v>198</v>
      </c>
      <c r="I11" s="31">
        <f>C11</f>
        <v>58.5</v>
      </c>
      <c r="J11" s="31" t="s">
        <v>78</v>
      </c>
      <c r="K11" s="31">
        <f>G11/I11</f>
        <v>0.17094017094017094</v>
      </c>
      <c r="L11" s="31" t="s">
        <v>58</v>
      </c>
    </row>
    <row r="12" spans="1:14" ht="19.5" x14ac:dyDescent="0.3">
      <c r="B12" s="54" t="s">
        <v>199</v>
      </c>
      <c r="E12" s="81">
        <f>E9/K11/K11</f>
        <v>5.8178249999999993E-4</v>
      </c>
      <c r="F12" s="54" t="s">
        <v>79</v>
      </c>
      <c r="G12" s="40">
        <f>E12*207</f>
        <v>0.12042897749999999</v>
      </c>
      <c r="H12" s="31" t="s">
        <v>80</v>
      </c>
      <c r="I12" s="80">
        <f>1000*G12</f>
        <v>120.42897749999999</v>
      </c>
      <c r="J12" s="54" t="s">
        <v>31</v>
      </c>
    </row>
    <row r="14" spans="1:14" ht="20.25" x14ac:dyDescent="0.35">
      <c r="A14" s="76" t="s">
        <v>110</v>
      </c>
      <c r="B14" s="17">
        <v>5</v>
      </c>
      <c r="C14" s="16" t="s">
        <v>93</v>
      </c>
      <c r="D14" s="16"/>
      <c r="E14" s="16"/>
      <c r="F14" s="16"/>
      <c r="G14" s="16">
        <v>200</v>
      </c>
      <c r="H14" s="16" t="s">
        <v>88</v>
      </c>
      <c r="I14" s="16" t="s">
        <v>82</v>
      </c>
      <c r="J14" s="16"/>
      <c r="K14" s="16">
        <v>2</v>
      </c>
      <c r="L14" s="16" t="s">
        <v>94</v>
      </c>
      <c r="M14" s="16"/>
      <c r="N14" s="16"/>
    </row>
    <row r="15" spans="1:14" ht="18.75" x14ac:dyDescent="0.35">
      <c r="B15" s="16"/>
      <c r="C15" s="16"/>
      <c r="D15" s="17" t="s">
        <v>90</v>
      </c>
      <c r="E15" s="18">
        <f>'gy4-adat'!C20</f>
        <v>1.3E-22</v>
      </c>
      <c r="F15" s="16" t="s">
        <v>89</v>
      </c>
      <c r="G15" s="16"/>
      <c r="H15" s="16"/>
      <c r="I15" s="16"/>
    </row>
    <row r="17" spans="1:10" x14ac:dyDescent="0.25">
      <c r="C17" s="30" t="s">
        <v>144</v>
      </c>
      <c r="D17" s="31">
        <f>31+4*16</f>
        <v>95</v>
      </c>
      <c r="E17" s="31" t="s">
        <v>75</v>
      </c>
      <c r="G17" s="30" t="s">
        <v>145</v>
      </c>
      <c r="H17" s="31">
        <f>56+3*35.5</f>
        <v>162.5</v>
      </c>
    </row>
    <row r="18" spans="1:10" ht="18.75" x14ac:dyDescent="0.35">
      <c r="B18" t="s">
        <v>150</v>
      </c>
      <c r="C18">
        <v>200</v>
      </c>
      <c r="D18" s="10" t="s">
        <v>146</v>
      </c>
      <c r="E18" s="10">
        <f>C18/1000</f>
        <v>0.2</v>
      </c>
      <c r="F18" s="10" t="s">
        <v>80</v>
      </c>
      <c r="G18" s="82">
        <f>E18/D17</f>
        <v>2.1052631578947368E-3</v>
      </c>
      <c r="H18" s="10" t="s">
        <v>58</v>
      </c>
      <c r="I18" s="10" t="s">
        <v>155</v>
      </c>
      <c r="J18"/>
    </row>
    <row r="19" spans="1:10" ht="18" x14ac:dyDescent="0.35">
      <c r="B19" t="s">
        <v>151</v>
      </c>
      <c r="C19">
        <f>K14/B14</f>
        <v>0.4</v>
      </c>
      <c r="D19" s="10" t="s">
        <v>147</v>
      </c>
      <c r="E19" s="10">
        <f>C19</f>
        <v>0.4</v>
      </c>
      <c r="F19" s="10" t="s">
        <v>80</v>
      </c>
      <c r="G19" s="82">
        <f>E19/H17</f>
        <v>2.4615384615384616E-3</v>
      </c>
      <c r="H19" s="10" t="s">
        <v>58</v>
      </c>
      <c r="I19" s="83">
        <f>G19-G18</f>
        <v>3.5627530364372483E-4</v>
      </c>
      <c r="J19"/>
    </row>
    <row r="20" spans="1:10" x14ac:dyDescent="0.25">
      <c r="B20"/>
      <c r="C20"/>
      <c r="D20" s="10"/>
      <c r="E20" s="10"/>
      <c r="F20" s="10"/>
      <c r="G20" s="10"/>
      <c r="H20" s="10"/>
      <c r="I20" s="10"/>
      <c r="J20"/>
    </row>
    <row r="21" spans="1:10" ht="20.25" x14ac:dyDescent="0.35">
      <c r="B21" s="21" t="s">
        <v>154</v>
      </c>
      <c r="C21"/>
      <c r="D21" s="10"/>
      <c r="E21" s="10"/>
      <c r="F21" s="10"/>
      <c r="G21" s="10"/>
      <c r="H21" s="10"/>
      <c r="I21" s="10"/>
      <c r="J21"/>
    </row>
    <row r="22" spans="1:10" x14ac:dyDescent="0.25">
      <c r="B22" s="51">
        <f>G18</f>
        <v>2.1052631578947368E-3</v>
      </c>
      <c r="C22" s="51">
        <f>G19</f>
        <v>2.4615384615384616E-3</v>
      </c>
      <c r="D22" s="10"/>
      <c r="E22" s="10" t="s">
        <v>200</v>
      </c>
      <c r="F22" s="10" t="s">
        <v>201</v>
      </c>
      <c r="G22" s="10"/>
      <c r="H22" s="47" t="s">
        <v>140</v>
      </c>
      <c r="I22" s="10"/>
      <c r="J22"/>
    </row>
    <row r="23" spans="1:10" x14ac:dyDescent="0.25">
      <c r="B23"/>
      <c r="C23"/>
      <c r="D23" s="10"/>
      <c r="E23" s="10"/>
      <c r="F23" s="83">
        <f>I19</f>
        <v>3.5627530364372483E-4</v>
      </c>
      <c r="G23" s="10" t="s">
        <v>84</v>
      </c>
      <c r="H23" s="10"/>
      <c r="I23" s="10"/>
      <c r="J23"/>
    </row>
    <row r="24" spans="1:10" x14ac:dyDescent="0.25">
      <c r="B24"/>
      <c r="C24"/>
      <c r="D24" s="10"/>
      <c r="E24" s="10"/>
      <c r="F24" s="10"/>
      <c r="G24" s="10"/>
      <c r="H24" s="10"/>
      <c r="I24" s="10"/>
      <c r="J24"/>
    </row>
    <row r="25" spans="1:10" ht="19.5" x14ac:dyDescent="0.3">
      <c r="B25"/>
      <c r="C25" s="25"/>
      <c r="D25" s="84" t="s">
        <v>107</v>
      </c>
      <c r="E25" s="10" t="s">
        <v>202</v>
      </c>
      <c r="F25" s="10"/>
      <c r="G25" s="10"/>
      <c r="H25" s="11">
        <f>E15</f>
        <v>1.3E-22</v>
      </c>
      <c r="I25" s="10"/>
      <c r="J25"/>
    </row>
    <row r="26" spans="1:10" x14ac:dyDescent="0.25">
      <c r="B26"/>
      <c r="C26"/>
      <c r="D26" s="10"/>
      <c r="E26" s="10" t="s">
        <v>203</v>
      </c>
      <c r="F26" s="10"/>
      <c r="G26" s="10"/>
      <c r="H26" s="10"/>
      <c r="I26" s="10"/>
      <c r="J26"/>
    </row>
    <row r="27" spans="1:10" x14ac:dyDescent="0.25">
      <c r="B27"/>
      <c r="C27"/>
      <c r="D27" s="10"/>
      <c r="E27" s="85" t="s">
        <v>148</v>
      </c>
      <c r="F27" s="11">
        <f>(-I19+SQRT(I19*I19+4*H25))/2</f>
        <v>3.5236570605778894E-19</v>
      </c>
      <c r="G27" s="10"/>
      <c r="H27" s="10"/>
      <c r="I27" s="10"/>
      <c r="J27"/>
    </row>
    <row r="28" spans="1:10" ht="19.5" x14ac:dyDescent="0.3">
      <c r="B28"/>
      <c r="C28"/>
      <c r="D28" s="86"/>
      <c r="E28" s="87" t="s">
        <v>157</v>
      </c>
      <c r="F28" s="10" t="s">
        <v>158</v>
      </c>
      <c r="G28" s="10"/>
      <c r="H28" s="88">
        <f>1000*F27*D17</f>
        <v>3.3474742075489949E-14</v>
      </c>
      <c r="I28" s="89" t="s">
        <v>159</v>
      </c>
      <c r="J28"/>
    </row>
    <row r="30" spans="1:10" ht="18.75" x14ac:dyDescent="0.35">
      <c r="A30" s="76" t="s">
        <v>169</v>
      </c>
      <c r="B30" s="16" t="s">
        <v>170</v>
      </c>
      <c r="C30" s="16"/>
      <c r="D30" s="16"/>
      <c r="E30" s="16"/>
      <c r="F30" s="16"/>
      <c r="G30" s="16"/>
      <c r="H30" s="16"/>
    </row>
    <row r="31" spans="1:10" ht="18.75" x14ac:dyDescent="0.25">
      <c r="A31" s="16"/>
      <c r="B31" s="17" t="s">
        <v>171</v>
      </c>
      <c r="C31" s="26">
        <f>'[1]gy4-adat'!C15</f>
        <v>4.7999999999999999E-20</v>
      </c>
      <c r="D31" s="69" t="s">
        <v>172</v>
      </c>
      <c r="E31" s="16"/>
      <c r="F31" s="16"/>
      <c r="G31" s="70" t="s">
        <v>173</v>
      </c>
      <c r="H31" s="16"/>
    </row>
    <row r="33" spans="2:10" ht="18.75" x14ac:dyDescent="0.25">
      <c r="B33" s="16" t="s">
        <v>174</v>
      </c>
      <c r="C33" s="16"/>
      <c r="D33" s="16"/>
      <c r="E33" s="16"/>
      <c r="F33" s="71" t="s">
        <v>175</v>
      </c>
      <c r="G33" s="16"/>
      <c r="H33" s="16"/>
      <c r="I33" s="16"/>
      <c r="J33" s="16"/>
    </row>
    <row r="34" spans="2:10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9.5" thickBot="1" x14ac:dyDescent="0.3">
      <c r="B35" s="16" t="s">
        <v>176</v>
      </c>
      <c r="C35" s="15" t="s">
        <v>177</v>
      </c>
      <c r="D35" s="16"/>
      <c r="E35" s="16"/>
      <c r="F35" s="15" t="s">
        <v>178</v>
      </c>
      <c r="G35" s="16"/>
      <c r="H35" s="16"/>
      <c r="I35" s="15" t="s">
        <v>179</v>
      </c>
      <c r="J35" s="16"/>
    </row>
    <row r="36" spans="2:10" ht="19.5" thickBot="1" x14ac:dyDescent="0.3">
      <c r="B36" s="72" t="s">
        <v>180</v>
      </c>
      <c r="C36" s="73">
        <f>C31*1E+28</f>
        <v>479999999.99999994</v>
      </c>
      <c r="D36" s="74" t="s">
        <v>181</v>
      </c>
      <c r="E36" s="16"/>
      <c r="F36" s="16"/>
      <c r="G36" s="16"/>
      <c r="H36" s="16"/>
      <c r="I36" s="16"/>
      <c r="J36" s="16"/>
    </row>
    <row r="38" spans="2:10" ht="18.75" x14ac:dyDescent="0.25">
      <c r="B38" s="17" t="s">
        <v>111</v>
      </c>
      <c r="C38" s="29" t="s">
        <v>112</v>
      </c>
      <c r="D38" s="29" t="s">
        <v>113</v>
      </c>
      <c r="E38" s="75" t="s">
        <v>182</v>
      </c>
    </row>
    <row r="39" spans="2:10" x14ac:dyDescent="0.25">
      <c r="B39" s="16">
        <v>7</v>
      </c>
      <c r="C39" s="16">
        <f>10^-B39</f>
        <v>9.9999999999999995E-8</v>
      </c>
      <c r="D39" s="16">
        <f>C39*C39</f>
        <v>9.9999999999999984E-15</v>
      </c>
      <c r="E39" s="27">
        <f>$C$36*D39</f>
        <v>4.7999999999999989E-6</v>
      </c>
    </row>
    <row r="40" spans="2:10" x14ac:dyDescent="0.25">
      <c r="B40" s="16">
        <v>9</v>
      </c>
      <c r="C40" s="16">
        <f t="shared" ref="C40" si="0">10^-B40</f>
        <v>1.0000000000000001E-9</v>
      </c>
      <c r="D40" s="16">
        <f t="shared" ref="D40" si="1">C40*C40</f>
        <v>1.0000000000000001E-18</v>
      </c>
      <c r="E40" s="27">
        <f>$C$36*D40</f>
        <v>4.8E-10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D1DA4-08C8-483E-95AF-67079A3E05B2}">
  <dimension ref="A1:N40"/>
  <sheetViews>
    <sheetView tabSelected="1" topLeftCell="A18" zoomScale="140" zoomScaleNormal="140" workbookViewId="0">
      <selection activeCell="G40" sqref="G40"/>
    </sheetView>
  </sheetViews>
  <sheetFormatPr defaultRowHeight="15.75" x14ac:dyDescent="0.25"/>
  <cols>
    <col min="1" max="1" width="9.140625" style="31"/>
    <col min="2" max="2" width="9.28515625" style="31" bestFit="1" customWidth="1"/>
    <col min="3" max="3" width="10.28515625" style="31" customWidth="1"/>
    <col min="4" max="4" width="9.28515625" style="31" bestFit="1" customWidth="1"/>
    <col min="5" max="5" width="11.42578125" style="31" customWidth="1"/>
    <col min="6" max="6" width="9.28515625" style="31" bestFit="1" customWidth="1"/>
    <col min="7" max="7" width="10.28515625" style="31" customWidth="1"/>
    <col min="8" max="8" width="9.28515625" style="31" bestFit="1" customWidth="1"/>
    <col min="9" max="9" width="9.85546875" style="31" bestFit="1" customWidth="1"/>
    <col min="10" max="11" width="9.28515625" style="31" bestFit="1" customWidth="1"/>
    <col min="12" max="12" width="9.140625" style="31"/>
    <col min="13" max="13" width="9.28515625" style="31" bestFit="1" customWidth="1"/>
    <col min="14" max="16384" width="9.140625" style="31"/>
  </cols>
  <sheetData>
    <row r="1" spans="1:14" ht="20.25" x14ac:dyDescent="0.35">
      <c r="A1" s="76" t="s">
        <v>57</v>
      </c>
      <c r="B1" s="31" t="s">
        <v>211</v>
      </c>
    </row>
    <row r="2" spans="1:14" ht="18.75" x14ac:dyDescent="0.35">
      <c r="D2" s="30" t="s">
        <v>208</v>
      </c>
      <c r="E2" s="40">
        <v>1.5E-32</v>
      </c>
      <c r="G2" s="30" t="s">
        <v>62</v>
      </c>
      <c r="H2" s="31" t="s">
        <v>213</v>
      </c>
      <c r="L2" s="30"/>
      <c r="M2" s="30"/>
    </row>
    <row r="3" spans="1:14" ht="20.25" x14ac:dyDescent="0.35">
      <c r="D3" s="30" t="s">
        <v>204</v>
      </c>
      <c r="E3" s="40" t="s">
        <v>205</v>
      </c>
      <c r="G3" s="30"/>
      <c r="K3"/>
      <c r="L3" s="4"/>
    </row>
    <row r="4" spans="1:14" x14ac:dyDescent="0.25">
      <c r="E4" s="40" t="s">
        <v>206</v>
      </c>
      <c r="G4" s="30"/>
    </row>
    <row r="5" spans="1:14" ht="20.25" x14ac:dyDescent="0.35">
      <c r="B5" s="30" t="s">
        <v>209</v>
      </c>
      <c r="C5" s="31" t="s">
        <v>210</v>
      </c>
      <c r="E5" s="40">
        <f>E2</f>
        <v>1.5E-32</v>
      </c>
      <c r="F5" s="31" t="s">
        <v>207</v>
      </c>
      <c r="H5" s="30" t="s">
        <v>148</v>
      </c>
      <c r="I5" s="40">
        <f>(9*E5/4)^(1/5)</f>
        <v>5.0775563919874024E-7</v>
      </c>
      <c r="J5" s="31" t="s">
        <v>191</v>
      </c>
    </row>
    <row r="6" spans="1:14" ht="18.75" x14ac:dyDescent="0.25">
      <c r="B6" s="77" t="s">
        <v>192</v>
      </c>
      <c r="C6" s="77"/>
      <c r="D6" s="78">
        <f>I5</f>
        <v>5.0775563919874024E-7</v>
      </c>
      <c r="E6" s="77" t="s">
        <v>69</v>
      </c>
      <c r="F6" s="42">
        <v>207</v>
      </c>
      <c r="G6" s="31" t="s">
        <v>70</v>
      </c>
      <c r="H6" s="31">
        <f>D6*F6</f>
        <v>1.0510541731413924E-4</v>
      </c>
      <c r="I6" s="31" t="s">
        <v>71</v>
      </c>
      <c r="J6" s="79">
        <f>1000*H6</f>
        <v>0.10510541731413924</v>
      </c>
      <c r="K6" s="77" t="s">
        <v>31</v>
      </c>
    </row>
    <row r="8" spans="1:14" ht="20.25" x14ac:dyDescent="0.35">
      <c r="A8" s="76" t="s">
        <v>59</v>
      </c>
      <c r="B8" s="31" t="s">
        <v>212</v>
      </c>
      <c r="K8"/>
      <c r="L8"/>
    </row>
    <row r="9" spans="1:14" ht="18.75" x14ac:dyDescent="0.35">
      <c r="D9" s="30" t="s">
        <v>208</v>
      </c>
      <c r="E9" s="40">
        <f>E2</f>
        <v>1.5E-32</v>
      </c>
      <c r="G9" s="30" t="s">
        <v>62</v>
      </c>
      <c r="H9" s="31" t="s">
        <v>214</v>
      </c>
    </row>
    <row r="11" spans="1:14" ht="20.25" x14ac:dyDescent="0.35">
      <c r="B11" s="30" t="s">
        <v>215</v>
      </c>
      <c r="C11" s="31">
        <f>3*23+31+4*16</f>
        <v>164</v>
      </c>
      <c r="D11" s="31" t="s">
        <v>75</v>
      </c>
      <c r="F11" s="30" t="s">
        <v>216</v>
      </c>
      <c r="G11" s="31">
        <v>10</v>
      </c>
      <c r="H11" s="31" t="s">
        <v>198</v>
      </c>
      <c r="I11" s="31">
        <f>C11</f>
        <v>164</v>
      </c>
      <c r="J11" s="31" t="s">
        <v>78</v>
      </c>
      <c r="K11" s="31">
        <f>G11/I11</f>
        <v>6.097560975609756E-2</v>
      </c>
      <c r="L11" s="31" t="s">
        <v>58</v>
      </c>
    </row>
    <row r="12" spans="1:14" ht="19.5" x14ac:dyDescent="0.3">
      <c r="D12" s="68" t="s">
        <v>217</v>
      </c>
      <c r="E12" s="81">
        <f>(E9/K11/K11)^(1/3)</f>
        <v>1.5919386187120021E-10</v>
      </c>
      <c r="F12" s="54" t="s">
        <v>79</v>
      </c>
      <c r="G12" s="40">
        <f>E12*207</f>
        <v>3.2953129407338444E-8</v>
      </c>
      <c r="H12" s="31" t="s">
        <v>80</v>
      </c>
      <c r="I12" s="81">
        <f>1000*G12</f>
        <v>3.2953129407338443E-5</v>
      </c>
      <c r="J12" s="54" t="s">
        <v>31</v>
      </c>
    </row>
    <row r="13" spans="1:14" x14ac:dyDescent="0.25">
      <c r="E13" s="40">
        <f>E12*E12*E12</f>
        <v>4.0344000000000122E-30</v>
      </c>
    </row>
    <row r="14" spans="1:14" ht="20.25" x14ac:dyDescent="0.35">
      <c r="A14" s="76" t="s">
        <v>110</v>
      </c>
      <c r="B14" s="17">
        <v>7</v>
      </c>
      <c r="C14" s="16" t="s">
        <v>93</v>
      </c>
      <c r="D14" s="16"/>
      <c r="E14" s="16"/>
      <c r="F14" s="16"/>
      <c r="G14" s="16">
        <v>250</v>
      </c>
      <c r="H14" s="16" t="s">
        <v>88</v>
      </c>
      <c r="I14" s="16" t="s">
        <v>82</v>
      </c>
      <c r="J14" s="16"/>
      <c r="K14" s="16">
        <v>3.5</v>
      </c>
      <c r="L14" s="16" t="s">
        <v>94</v>
      </c>
      <c r="M14" s="16"/>
      <c r="N14" s="16"/>
    </row>
    <row r="15" spans="1:14" ht="18.75" x14ac:dyDescent="0.35">
      <c r="B15" s="16"/>
      <c r="C15" s="16"/>
      <c r="D15" s="17" t="s">
        <v>90</v>
      </c>
      <c r="E15" s="18">
        <f>'gy4-adat'!C20</f>
        <v>1.3E-22</v>
      </c>
      <c r="F15" s="16" t="s">
        <v>89</v>
      </c>
      <c r="G15" s="16"/>
      <c r="H15" s="16"/>
      <c r="I15" s="16"/>
    </row>
    <row r="17" spans="1:10" x14ac:dyDescent="0.25">
      <c r="C17" s="30" t="s">
        <v>144</v>
      </c>
      <c r="D17" s="31">
        <f>31+4*16</f>
        <v>95</v>
      </c>
      <c r="E17" s="31" t="s">
        <v>75</v>
      </c>
      <c r="G17" s="30" t="s">
        <v>145</v>
      </c>
      <c r="H17" s="31">
        <f>56+3*35.5</f>
        <v>162.5</v>
      </c>
    </row>
    <row r="18" spans="1:10" ht="18.75" x14ac:dyDescent="0.35">
      <c r="B18" t="s">
        <v>150</v>
      </c>
      <c r="C18">
        <f>G14</f>
        <v>250</v>
      </c>
      <c r="D18" s="10" t="s">
        <v>146</v>
      </c>
      <c r="E18" s="10">
        <f>C18/1000</f>
        <v>0.25</v>
      </c>
      <c r="F18" s="10" t="s">
        <v>80</v>
      </c>
      <c r="G18" s="82">
        <f>E18/D17</f>
        <v>2.631578947368421E-3</v>
      </c>
      <c r="H18" s="10" t="s">
        <v>58</v>
      </c>
      <c r="I18" s="10" t="s">
        <v>155</v>
      </c>
      <c r="J18"/>
    </row>
    <row r="19" spans="1:10" ht="18" x14ac:dyDescent="0.35">
      <c r="B19" t="s">
        <v>151</v>
      </c>
      <c r="C19">
        <f>K14/B14</f>
        <v>0.5</v>
      </c>
      <c r="D19" s="10" t="s">
        <v>147</v>
      </c>
      <c r="E19" s="10">
        <f>C19</f>
        <v>0.5</v>
      </c>
      <c r="F19" s="10" t="s">
        <v>80</v>
      </c>
      <c r="G19" s="82">
        <f>E19/H17</f>
        <v>3.0769230769230769E-3</v>
      </c>
      <c r="H19" s="10" t="s">
        <v>58</v>
      </c>
      <c r="I19" s="83">
        <f>G19-G18</f>
        <v>4.4534412955465593E-4</v>
      </c>
      <c r="J19"/>
    </row>
    <row r="20" spans="1:10" x14ac:dyDescent="0.25">
      <c r="B20"/>
      <c r="C20"/>
      <c r="D20" s="10"/>
      <c r="E20" s="10"/>
      <c r="F20" s="10"/>
      <c r="G20" s="10"/>
      <c r="H20" s="10"/>
      <c r="I20" s="10"/>
      <c r="J20"/>
    </row>
    <row r="21" spans="1:10" ht="20.25" x14ac:dyDescent="0.35">
      <c r="B21" s="21" t="s">
        <v>154</v>
      </c>
      <c r="C21"/>
      <c r="D21" s="10"/>
      <c r="E21" s="10"/>
      <c r="F21" s="10"/>
      <c r="G21" s="10"/>
      <c r="H21" s="10"/>
      <c r="I21" s="10"/>
      <c r="J21"/>
    </row>
    <row r="22" spans="1:10" x14ac:dyDescent="0.25">
      <c r="B22" s="51">
        <f>G18</f>
        <v>2.631578947368421E-3</v>
      </c>
      <c r="C22" s="51">
        <f>G19</f>
        <v>3.0769230769230769E-3</v>
      </c>
      <c r="D22" s="10"/>
      <c r="E22" s="10" t="s">
        <v>229</v>
      </c>
      <c r="F22" s="10" t="s">
        <v>230</v>
      </c>
      <c r="G22" s="10"/>
      <c r="H22" s="47" t="s">
        <v>140</v>
      </c>
      <c r="I22" s="10"/>
      <c r="J22"/>
    </row>
    <row r="23" spans="1:10" x14ac:dyDescent="0.25">
      <c r="B23"/>
      <c r="C23"/>
      <c r="D23" s="10"/>
      <c r="E23" s="10"/>
      <c r="F23" s="83">
        <f>I19</f>
        <v>4.4534412955465593E-4</v>
      </c>
      <c r="G23" s="10" t="s">
        <v>84</v>
      </c>
      <c r="H23" s="10"/>
      <c r="I23" s="10"/>
      <c r="J23"/>
    </row>
    <row r="24" spans="1:10" x14ac:dyDescent="0.25">
      <c r="B24"/>
      <c r="C24"/>
      <c r="D24" s="10"/>
      <c r="E24" s="10"/>
      <c r="F24" s="10"/>
      <c r="G24" s="10"/>
      <c r="H24" s="10"/>
      <c r="I24" s="10"/>
      <c r="J24"/>
    </row>
    <row r="25" spans="1:10" ht="19.5" x14ac:dyDescent="0.3">
      <c r="B25"/>
      <c r="C25" s="25"/>
      <c r="D25" s="84" t="s">
        <v>107</v>
      </c>
      <c r="E25" s="10" t="s">
        <v>218</v>
      </c>
      <c r="F25" s="10"/>
      <c r="G25" s="10"/>
      <c r="H25" s="11">
        <f>E15</f>
        <v>1.3E-22</v>
      </c>
      <c r="I25" s="10"/>
      <c r="J25"/>
    </row>
    <row r="26" spans="1:10" x14ac:dyDescent="0.25">
      <c r="B26"/>
      <c r="C26"/>
      <c r="D26" s="10"/>
      <c r="E26" s="10" t="s">
        <v>219</v>
      </c>
      <c r="F26" s="10"/>
      <c r="G26" s="10"/>
      <c r="H26" s="10"/>
      <c r="I26" s="10"/>
      <c r="J26"/>
    </row>
    <row r="27" spans="1:10" x14ac:dyDescent="0.25">
      <c r="B27"/>
      <c r="C27"/>
      <c r="D27" s="10"/>
      <c r="E27" s="85" t="s">
        <v>148</v>
      </c>
      <c r="F27" s="11">
        <f>(-I19+SQRT(I19*I19+4*H25))/2</f>
        <v>2.9815559743351372E-19</v>
      </c>
      <c r="G27" s="10"/>
      <c r="H27" s="10"/>
      <c r="I27" s="10"/>
      <c r="J27"/>
    </row>
    <row r="28" spans="1:10" ht="19.5" x14ac:dyDescent="0.3">
      <c r="B28"/>
      <c r="C28"/>
      <c r="D28" s="86"/>
      <c r="E28" s="87" t="s">
        <v>157</v>
      </c>
      <c r="F28" s="10" t="s">
        <v>158</v>
      </c>
      <c r="G28" s="10"/>
      <c r="H28" s="88">
        <f>1000*F27*D17</f>
        <v>2.8324781756183803E-14</v>
      </c>
      <c r="I28" s="89" t="s">
        <v>159</v>
      </c>
      <c r="J28"/>
    </row>
    <row r="30" spans="1:10" ht="18.75" x14ac:dyDescent="0.35">
      <c r="A30" s="76" t="s">
        <v>169</v>
      </c>
      <c r="B30" s="16" t="s">
        <v>228</v>
      </c>
      <c r="C30" s="16"/>
      <c r="D30" s="16"/>
      <c r="E30" s="16"/>
      <c r="F30" s="16"/>
      <c r="G30" s="16"/>
      <c r="H30" s="16"/>
    </row>
    <row r="31" spans="1:10" ht="18.75" x14ac:dyDescent="0.25">
      <c r="A31" s="16"/>
      <c r="B31" s="17" t="s">
        <v>171</v>
      </c>
      <c r="C31" s="26">
        <f>'gy4-adat'!C28</f>
        <v>3.0000000000000001E-17</v>
      </c>
      <c r="D31" s="69" t="s">
        <v>220</v>
      </c>
      <c r="E31" s="16"/>
      <c r="F31" s="16"/>
      <c r="G31" s="70" t="s">
        <v>173</v>
      </c>
      <c r="H31" s="16"/>
    </row>
    <row r="33" spans="2:10" ht="18.75" x14ac:dyDescent="0.25">
      <c r="B33" s="16" t="s">
        <v>221</v>
      </c>
      <c r="C33" s="16"/>
      <c r="D33" s="16"/>
      <c r="E33" s="16"/>
      <c r="F33" s="71" t="s">
        <v>175</v>
      </c>
      <c r="G33" s="16"/>
      <c r="H33" s="16"/>
      <c r="I33" s="16"/>
      <c r="J33" s="16"/>
    </row>
    <row r="34" spans="2:10" x14ac:dyDescent="0.25">
      <c r="B34" s="16"/>
      <c r="C34" s="16"/>
      <c r="D34" s="16"/>
      <c r="E34" s="16"/>
      <c r="F34" s="16"/>
      <c r="G34" s="16"/>
      <c r="H34" s="16"/>
      <c r="I34" s="16"/>
      <c r="J34" s="16"/>
    </row>
    <row r="35" spans="2:10" ht="19.5" thickBot="1" x14ac:dyDescent="0.3">
      <c r="B35" s="16" t="s">
        <v>222</v>
      </c>
      <c r="C35" s="15" t="s">
        <v>223</v>
      </c>
      <c r="D35" s="16"/>
      <c r="E35" s="16"/>
      <c r="F35" s="15" t="s">
        <v>224</v>
      </c>
      <c r="G35" s="16"/>
      <c r="H35" s="16"/>
      <c r="I35" s="15" t="s">
        <v>225</v>
      </c>
      <c r="J35" s="16"/>
    </row>
    <row r="36" spans="2:10" ht="19.5" thickBot="1" x14ac:dyDescent="0.3">
      <c r="B36" s="72" t="s">
        <v>226</v>
      </c>
      <c r="C36" s="73">
        <f>C31*1E+28</f>
        <v>300000000000</v>
      </c>
      <c r="D36" s="74" t="s">
        <v>181</v>
      </c>
      <c r="E36" s="16"/>
      <c r="F36" s="16"/>
      <c r="G36" s="16"/>
      <c r="H36" s="16"/>
      <c r="I36" s="16"/>
      <c r="J36" s="16"/>
    </row>
    <row r="38" spans="2:10" ht="18.75" x14ac:dyDescent="0.25">
      <c r="B38" s="17" t="s">
        <v>111</v>
      </c>
      <c r="C38" s="29" t="s">
        <v>112</v>
      </c>
      <c r="D38" s="29" t="s">
        <v>113</v>
      </c>
      <c r="E38" s="75" t="s">
        <v>227</v>
      </c>
    </row>
    <row r="39" spans="2:10" x14ac:dyDescent="0.25">
      <c r="B39" s="16">
        <v>8</v>
      </c>
      <c r="C39" s="16">
        <f>10^-B39</f>
        <v>1E-8</v>
      </c>
      <c r="D39" s="16">
        <f>C39*C39</f>
        <v>1.0000000000000001E-16</v>
      </c>
      <c r="E39" s="27">
        <f>$C$36*D39</f>
        <v>3.0000000000000004E-5</v>
      </c>
    </row>
    <row r="40" spans="2:10" x14ac:dyDescent="0.25">
      <c r="B40" s="16">
        <v>9</v>
      </c>
      <c r="C40" s="16">
        <f t="shared" ref="C40" si="0">10^-B40</f>
        <v>1.0000000000000001E-9</v>
      </c>
      <c r="D40" s="16">
        <f t="shared" ref="D40" si="1">C40*C40</f>
        <v>1.0000000000000001E-18</v>
      </c>
      <c r="E40" s="27">
        <f>$C$36*D40</f>
        <v>3.0000000000000004E-7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gy4-adat</vt:lpstr>
      <vt:lpstr>PbSO4</vt:lpstr>
      <vt:lpstr>PbSO4meg</vt:lpstr>
      <vt:lpstr>foszfát</vt:lpstr>
      <vt:lpstr>foszfátmeg</vt:lpstr>
      <vt:lpstr>vas2-3</vt:lpstr>
      <vt:lpstr>vas2-3meg</vt:lpstr>
      <vt:lpstr>ZH4meg</vt:lpstr>
      <vt:lpstr>ZH4potmeg</vt:lpstr>
      <vt:lpstr>ZH4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Tolner</dc:creator>
  <cp:lastModifiedBy>Tolner László</cp:lastModifiedBy>
  <cp:lastPrinted>2021-11-03T17:15:25Z</cp:lastPrinted>
  <dcterms:created xsi:type="dcterms:W3CDTF">2015-06-05T18:17:20Z</dcterms:created>
  <dcterms:modified xsi:type="dcterms:W3CDTF">2021-12-17T16:59:43Z</dcterms:modified>
</cp:coreProperties>
</file>